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Umsatz" sheetId="2" state="visible" r:id="rId4"/>
    <sheet name="Kosten" sheetId="3" state="visible" r:id="rId5"/>
    <sheet name="Lebenshaltung" sheetId="4" state="visible" r:id="rId6"/>
    <sheet name="Kapitalbedarf" sheetId="5" state="visible" r:id="rId7"/>
    <sheet name="Finanzierung" sheetId="6" state="visible" r:id="rId8"/>
    <sheet name="Rentabilität" sheetId="7" state="visible" r:id="rId9"/>
    <sheet name="Liquidität" sheetId="8" state="visible" r:id="rId10"/>
    <sheet name="Prüfung" sheetId="9" state="visible" r:id="rId11"/>
  </sheets>
  <definedNames>
    <definedName function="false" hidden="false" localSheetId="5" name="_xlnm.Print_Titles" vbProcedure="false">Finanzierung!$4:$4</definedName>
    <definedName function="false" hidden="false" localSheetId="4" name="_xlnm.Print_Titles" vbProcedure="false">Kapitalbedarf!$4:$4</definedName>
    <definedName function="false" hidden="false" localSheetId="2" name="_xlnm.Print_Titles" vbProcedure="false">Kosten!$4:$4</definedName>
    <definedName function="false" hidden="false" localSheetId="7" name="_xlnm.Print_Titles" vbProcedure="false">Liquidität!$4:$4</definedName>
    <definedName function="false" hidden="false" localSheetId="6" name="_xlnm.Print_Titles" vbProcedure="false">Rentabilität!$4:$4</definedName>
    <definedName function="false" hidden="false" localSheetId="1" name="_xlnm.Print_Titles" vbProcedure="false">Umsatz!$4:$4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<sst xmlns="http://schemas.openxmlformats.org/spreadsheetml/2006/main" count="363" uniqueCount="322">
  <si>
    <t xml:space="preserve">Finanzplan-Vorlage für Gründungen</t>
  </si>
  <si>
    <t xml:space="preserve">Nutzung: Für Ihren eigenen Finanzplan frei nutzbar, auch ohne Quellenangabe; die Fußzeile dürfen Sie ändern oder löschen. Wer die Vorlage selbst als Vorlage weitergibt oder veröffentlicht, nennt dabei die Quelle: arbeitdigital.de/gruenden/finanzplan/</t>
  </si>
  <si>
    <t xml:space="preserve">Einstellungen</t>
  </si>
  <si>
    <t xml:space="preserve">Name des Unternehmens</t>
  </si>
  <si>
    <t xml:space="preserve">Studio Muster</t>
  </si>
  <si>
    <t xml:space="preserve">Erscheint nur hier; für Ihre Unterlagen.</t>
  </si>
  <si>
    <t xml:space="preserve">Erster Monat der Planung</t>
  </si>
  <si>
    <t xml:space="preserve">Datum, z. B. 1.1.2027. Die Monatsnamen in allen Blättern richten sich danach. Ein Planjahr = 12 Monate ab hier.</t>
  </si>
  <si>
    <t xml:space="preserve">Rechtsform</t>
  </si>
  <si>
    <t xml:space="preserve">Einzelunternehmen/Personengesellschaft</t>
  </si>
  <si>
    <t xml:space="preserve">GmbH/UG: Gehalt der Geschäftsführung unter Personal eintragen; Privatentnahmen und das Blatt Lebenshaltung entfallen.</t>
  </si>
  <si>
    <t xml:space="preserve">Gewerbebetrieb (Gewerbesteuer)?</t>
  </si>
  <si>
    <t xml:space="preserve">ja</t>
  </si>
  <si>
    <t xml:space="preserve">„nein“ für Freie Berufe (z. B. Ärzte, Anwälte, Steuerberater, viele Beratungs-, Lehr- und künstlerische Berufe). Im Zweifel Finanzamt oder Steuerbüro fragen.</t>
  </si>
  <si>
    <t xml:space="preserve">Hebesatz der Gemeinde</t>
  </si>
  <si>
    <t xml:space="preserve">Annahme. Den Hebesatz veröffentlicht die Gemeinde.</t>
  </si>
  <si>
    <t xml:space="preserve">Kleinunternehmerregelung?</t>
  </si>
  <si>
    <t xml:space="preserve">nein</t>
  </si>
  <si>
    <t xml:space="preserve">„ja“: keine Umsatzsteuer auf Rechnungen, kein Vorsteuerabzug; alle Kosten dann brutto eintragen. Grenzen siehe unten, Prüfung im Blatt Prüfung.</t>
  </si>
  <si>
    <t xml:space="preserve">Umsatzsteuersatz für Kosten (Vorsteuer)</t>
  </si>
  <si>
    <t xml:space="preserve">Regelsteuersatz. Den Satz für Ihre eigenen Leistungen stellen Sie je Leistung im Blatt Umsatz ein.</t>
  </si>
  <si>
    <t xml:space="preserve">Kunden zahlen nach … Monaten</t>
  </si>
  <si>
    <t xml:space="preserve">0 = im Monat der Leistung, 1 = einen Monat später, 2 = zwei Monate später.</t>
  </si>
  <si>
    <t xml:space="preserve">Kostensteigerung je Jahr</t>
  </si>
  <si>
    <t xml:space="preserve">Annahme für Jahr 2 und 3 (Kosten, Löhne, Lebenshaltung).</t>
  </si>
  <si>
    <t xml:space="preserve">Härtetest: Umsatz niedriger um</t>
  </si>
  <si>
    <t xml:space="preserve">z. B. 33 %. Für den fertigen Plan wieder auf 0 setzen.</t>
  </si>
  <si>
    <t xml:space="preserve">Härtetest: Umsätze beginnen … Monate später</t>
  </si>
  <si>
    <t xml:space="preserve">z. B. 3. Die Kosten laufen trotzdem ab dem ersten Monat. Für den fertigen Plan wieder auf 0 setzen.</t>
  </si>
  <si>
    <t xml:space="preserve">Freibetrag Gewerbesteuer (§ 11 Abs. 1 GewStG)</t>
  </si>
  <si>
    <t xml:space="preserve">Nur Einzelunternehmen und Personengesellschaften. Gesetzlicher Wert; nur bei Gesetzesänderung anpassen.</t>
  </si>
  <si>
    <t xml:space="preserve">Steuermesszahl Gewerbesteuer (§ 11 Abs. 2 GewStG)</t>
  </si>
  <si>
    <t xml:space="preserve">Gesetzlicher Wert; nur bei Gesetzesänderung anpassen.</t>
  </si>
  <si>
    <t xml:space="preserve">Kleinunternehmer: Grenze Vorjahr bzw. Gründungsjahr (§ 19 UStG)</t>
  </si>
  <si>
    <t xml:space="preserve">Gesamtumsatz netto. Im ersten Planjahr prüft die Vorlage vorsichtig gegen diese Grenze. Gesetzlicher Wert; nur bei Gesetzesänderung anpassen.</t>
  </si>
  <si>
    <t xml:space="preserve">Kleinunternehmer: Grenze laufendes Jahr (§ 19 UStG)</t>
  </si>
  <si>
    <t xml:space="preserve">Wird sie überschritten, endet die Regelung sofort. Gesetzlicher Wert.</t>
  </si>
  <si>
    <t xml:space="preserve">Kleinunternehmer (ergibt sich: 1 = ja)</t>
  </si>
  <si>
    <t xml:space="preserve">Vorsteuer im Plan (ergibt sich)</t>
  </si>
  <si>
    <t xml:space="preserve">GmbH oder UG (ergibt sich)</t>
  </si>
  <si>
    <t xml:space="preserve">So nutzen Sie die Vorlage</t>
  </si>
  <si>
    <t xml:space="preserve">1. Einstellungen oben ausfüllen.</t>
  </si>
  <si>
    <t xml:space="preserve">2. Die Blätter in dieser Reihenfolge ausfüllen: Umsatz, Kosten, Lebenshaltung, Kapitalbedarf, Finanzierung.</t>
  </si>
  <si>
    <t xml:space="preserve">3. Rentabilität, Liquidität und Prüfung rechnen sich selbst. Steht in der Prüfung überall „ja“, ist der Plan in sich stimmig.</t>
  </si>
  <si>
    <t xml:space="preserve">4. Härtetest: die beiden Härtetest-Felder oben setzen (z. B. 33 % weniger Umsatz oder 3 Monate später) und die Prüfung ansehen. Danach wieder auf 0 stellen.</t>
  </si>
  <si>
    <t xml:space="preserve">Farben: blaue Schrift auf gelbem Grund = Eingabe; hellgelb = vorbelegt, darf überschrieben werden. Schwarze Schrift = Formel, grüne Schrift = Wert aus einem anderen Blatt. Die Formeln sind gegen versehentliches Überschreiben geschützt (Blattschutz ohne Kennwort; aufheben über Überprüfen &gt; Blattschutz aufheben).</t>
  </si>
  <si>
    <t xml:space="preserve">Die Eingabefelder enthalten ein ausgedachtes Beispiel: eine Grafikdesignerin, die ein Gewerbe als Einzelunternehmen anmeldet (wie auf arbeitdigital.de/gruenden/finanzplan/). Überschreiben Sie alle Werte mit Ihren eigenen.</t>
  </si>
  <si>
    <t xml:space="preserve">Vereinfachungen</t>
  </si>
  <si>
    <t xml:space="preserve">Alle Beträge netto, also ohne Umsatzsteuer (bei Kleinunternehmerregelung Kosten brutto). Jahr 2 und 3 als Jahressummen; innerhalb dieser Jahre verteilen sich Zahlungen gleichmäßig, deshalb wird der Kontostand dort zum Jahresende geprüft.</t>
  </si>
  <si>
    <t xml:space="preserve">Abschreibungen in vollen Jahren ab dem Jahr der Anschaffung (genau wäre monatsgenau, § 7 Abs. 1 Satz 4 EStG). Zinsen jährlich aus der Restschuld zu Jahresbeginn. Kredite werden im ersten Monat ausgezahlt.</t>
  </si>
  <si>
    <t xml:space="preserve">Umsatzsteuer nach vereinbarten Entgelten (Sollversteuerung): fällig im Monat nach der Rechnung, auch wenn der Kunde später zahlt. Gründer geben die Voranmeldung im Gründungsjahr und im Folgejahr monatlich ab (§ 18 Abs. 2 Satz 4 UStG). Bei Istversteuerung (auf Antrag, § 20 UStG) wird die Steuer erst nach Zahlungseingang fällig; die Vorlage rechnet also vorsichtig.</t>
  </si>
  <si>
    <t xml:space="preserve">Gewerbesteuer als Schätzung aus dem Ergebnis, ohne Hinzurechnungen und Kürzungen; bezahlt im Folgejahr. Bei Einzelunternehmen wird sie teilweise auf die Einkommensteuer angerechnet (§ 35 EStG); das rechnet das Blatt Lebenshaltung ein.</t>
  </si>
  <si>
    <t xml:space="preserve">Krankenversicherung und Einkommensteuer hängen vom Gewinn ab. Das Blatt Lebenshaltung schätzt beides je Jahr aus dem Ergebnis; die Einkommensteuer mit einem Durchschnittssatz, den Sie selbst festlegen (Steuerbüro oder Einkommensteuerrechner des Bundesfinanzministeriums).</t>
  </si>
  <si>
    <t xml:space="preserve">GmbH und UG: Gehalt der Geschäftsführung unter Personal. Körperschaftsteuer und Solidaritätszuschlag sind nicht gerechnet; mit dem Steuerbüro planen.</t>
  </si>
  <si>
    <t xml:space="preserve">Die Vorlage ersetzt keine Steuer- oder Finanzberatung. Lassen Sie den fertigen Plan von Kammer, Gründungsberatung oder Steuerbüro gegenlesen.</t>
  </si>
  <si>
    <t xml:space="preserve">Umsatzplanung</t>
  </si>
  <si>
    <t xml:space="preserve">Je Leistung oder Produkt: Preis netto mal Menge. Menge je Monat im ersten Jahr, danach je Jahr. Fremdkosten = Material, Wareneinsatz, zugekaufte Leistungen.</t>
  </si>
  <si>
    <t xml:space="preserve">Monat Nr.</t>
  </si>
  <si>
    <t xml:space="preserve">Leistung oder Produkt</t>
  </si>
  <si>
    <t xml:space="preserve">Preis netto (€)</t>
  </si>
  <si>
    <t xml:space="preserve">Jahr 1</t>
  </si>
  <si>
    <t xml:space="preserve">Jahr 2</t>
  </si>
  <si>
    <t xml:space="preserve">Jahr 3</t>
  </si>
  <si>
    <t xml:space="preserve">Fremdkosten in % vom Umsatz</t>
  </si>
  <si>
    <t xml:space="preserve">Preisänderung je Jahr</t>
  </si>
  <si>
    <t xml:space="preserve">Umsatzsteuersatz</t>
  </si>
  <si>
    <t xml:space="preserve">Menge (Stück, Aufträge, Stunden)</t>
  </si>
  <si>
    <t xml:space="preserve">Gestaltungsprojekt (Logo, Website, Werbemittel)</t>
  </si>
  <si>
    <t xml:space="preserve">Leistung 2</t>
  </si>
  <si>
    <t xml:space="preserve">Leistung 3</t>
  </si>
  <si>
    <t xml:space="preserve">Leistung 4</t>
  </si>
  <si>
    <t xml:space="preserve">Leistung 5</t>
  </si>
  <si>
    <t xml:space="preserve">Umsatz netto (€)</t>
  </si>
  <si>
    <t xml:space="preserve">Umsatz gesamt</t>
  </si>
  <si>
    <t xml:space="preserve">Fremdkosten (€)</t>
  </si>
  <si>
    <t xml:space="preserve">Fremdkosten gesamt</t>
  </si>
  <si>
    <t xml:space="preserve">Rohertrag (Umsatz minus Fremdkosten)</t>
  </si>
  <si>
    <t xml:space="preserve">Umsatzsteuer auf die Umsätze (€)</t>
  </si>
  <si>
    <t xml:space="preserve">Umsatzsteuer gesamt</t>
  </si>
  <si>
    <t xml:space="preserve">Tipp: Umsatz von unten rechnen (erreichbare Kunden × Aufträge × Preis), Anlaufzeit und Saison in den Monatsmengen abbilden. Ermäßigter Umsatzsteuersatz z. B. für Bücher, Lebensmittel und bestimmte Nutzungsrechte (§ 12 Abs. 2 UStG); im Zweifel Steuerbüro fragen. Die Härtetest-Felder im Blatt Start wirken auf alle Umsätze.</t>
  </si>
  <si>
    <t xml:space="preserve">Kosten und Personal</t>
  </si>
  <si>
    <t xml:space="preserve">Laufende Kosten je Monat, netto (bei Kleinunternehmerregelung brutto). Die Monatsfelder übernehmen den Monatsbetrag und dürfen für einzelne Monate überschrieben werden (z. B. Jahresbeitrag). Jahr 2 und 3 rechnen mit dem Monatsbetrag und der Kostensteigerung.</t>
  </si>
  <si>
    <t xml:space="preserve">Kostenart</t>
  </si>
  <si>
    <t xml:space="preserve">Betrag je Monat (€)</t>
  </si>
  <si>
    <t xml:space="preserve">Miete und Nebenkosten Büro</t>
  </si>
  <si>
    <t xml:space="preserve">Software und Lizenzen</t>
  </si>
  <si>
    <t xml:space="preserve">Versicherungen (betrieblich)</t>
  </si>
  <si>
    <t xml:space="preserve">Beiträge (Kammer, Berufsgenossenschaft, Verbände)</t>
  </si>
  <si>
    <t xml:space="preserve">Telefon und Internet</t>
  </si>
  <si>
    <t xml:space="preserve">Werbung laufend</t>
  </si>
  <si>
    <t xml:space="preserve">Steuerbüro und Buchhaltung</t>
  </si>
  <si>
    <t xml:space="preserve">Bürobedarf, Kontoführung, Rundfunkbeitrag</t>
  </si>
  <si>
    <t xml:space="preserve">Fahrzeug und Reisen</t>
  </si>
  <si>
    <t xml:space="preserve">Fortbildung</t>
  </si>
  <si>
    <t xml:space="preserve">weitere Kosten</t>
  </si>
  <si>
    <t xml:space="preserve">Fixkosten gesamt</t>
  </si>
  <si>
    <t xml:space="preserve">Anteil der Fixkosten mit Umsatzsteuer (für die Vorsteuer)</t>
  </si>
  <si>
    <t xml:space="preserve">Annahme: Versicherungen, Beiträge, Rundfunkbeitrag und oft auch Miete enthalten keine Umsatzsteuer.</t>
  </si>
  <si>
    <t xml:space="preserve">Personal</t>
  </si>
  <si>
    <t xml:space="preserve">Bruttolohn je Monat (€)</t>
  </si>
  <si>
    <t xml:space="preserve">ab Monat Nr. (1–36)</t>
  </si>
  <si>
    <t xml:space="preserve">Minijob?</t>
  </si>
  <si>
    <t xml:space="preserve">Stelle 1</t>
  </si>
  <si>
    <t xml:space="preserve">Stelle 2</t>
  </si>
  <si>
    <t xml:space="preserve">Stelle 3</t>
  </si>
  <si>
    <t xml:space="preserve">Stelle 4</t>
  </si>
  <si>
    <t xml:space="preserve">Stelle 5</t>
  </si>
  <si>
    <t xml:space="preserve">Personal gesamt (mit Arbeitgeberanteil)</t>
  </si>
  <si>
    <t xml:space="preserve">Arbeitgeberanteil (sozialversicherungspflichtige Stellen)</t>
  </si>
  <si>
    <t xml:space="preserve">Annahme: Arbeitgeberanteile zur Sozialversicherung (rund 21 %) plus Umlagen U1, U2, Insolvenzgeld und Berufsgenossenschaft. Genauen Satz mit Lohnbüro oder Krankenkasse klären.</t>
  </si>
  <si>
    <t xml:space="preserve">Pauschalabgaben Minijob</t>
  </si>
  <si>
    <t xml:space="preserve">Annahme: Pauschalbeiträge, Pauschsteuer und Umlagen für gewerbliche Minijobs; aktuelle Sätze bei der Minijob-Zentrale.</t>
  </si>
  <si>
    <t xml:space="preserve">„ab Monat Nr.“: 1 bis 12 im ersten Jahr, 13 bis 24 im zweiten, 25 bis 36 im dritten. Leer = keine Einstellung. Bei GmbH und UG gehört das Gehalt der Geschäftsführung hierher.</t>
  </si>
  <si>
    <t xml:space="preserve">Lebenshaltungskosten (Privatbedarf)</t>
  </si>
  <si>
    <t xml:space="preserve">Was Sie privat brauchen. Bei Einzelunternehmen und Personengesellschaften muss es aus dem Gewinn kommen. Bei GmbH und UG wird das Blatt nicht verwendet.</t>
  </si>
  <si>
    <t xml:space="preserve">Feste Ausgaben</t>
  </si>
  <si>
    <t xml:space="preserve">Hinweis</t>
  </si>
  <si>
    <t xml:space="preserve">Miete und Nebenkosten Wohnung</t>
  </si>
  <si>
    <t xml:space="preserve">Lebensmittel, Kleidung, Mobilität, Freizeit</t>
  </si>
  <si>
    <t xml:space="preserve">Altersvorsorge</t>
  </si>
  <si>
    <t xml:space="preserve">Bestimmte Selbstständige sind in der gesetzlichen Rentenversicherung pflichtversichert (z. B. viele Handwerker, Lehrer, Hebammen); Künstler und Publizisten über die Künstlersozialkasse. Vorher klären.</t>
  </si>
  <si>
    <t xml:space="preserve">Private Versicherungen</t>
  </si>
  <si>
    <t xml:space="preserve">z. B. Haftpflicht, Berufsunfähigkeit</t>
  </si>
  <si>
    <t xml:space="preserve">Sonstiges</t>
  </si>
  <si>
    <t xml:space="preserve">weitere Ausgaben</t>
  </si>
  <si>
    <t xml:space="preserve">Feste Ausgaben je Monat</t>
  </si>
  <si>
    <t xml:space="preserve">Vom Gewinn abhängig</t>
  </si>
  <si>
    <t xml:space="preserve">Eingabe</t>
  </si>
  <si>
    <t xml:space="preserve">Kranken- und Pflegeversicherung: Mindestbeitrag je Monat</t>
  </si>
  <si>
    <t xml:space="preserve">Freiwillig gesetzlich Versicherte zahlen mindestens den Beitrag aus der Mindestbemessungsgrundlage (§ 240 Abs. 4 SGB V). Betrag bei der Krankenkasse erfragen; privat Versicherte: eigenen Beitrag eintragen und Satz unten auf 0 setzen.</t>
  </si>
  <si>
    <t xml:space="preserve">Kranken- und Pflegeversicherung: Beitragssatz auf den Gewinn</t>
  </si>
  <si>
    <t xml:space="preserve">Annahme: allgemeiner Beitragssatz mit Krankengeld, durchschnittlicher Zusatzbeitrag und Pflegeversicherung; Satz der eigenen Kasse und für Kinderlose höheren Pflegebeitrag einsetzen. Oberhalb der Beitragsbemessungsgrenze steigt der Beitrag nicht weiter.</t>
  </si>
  <si>
    <t xml:space="preserve">Kirchensteuer (Satz auf die Einkommensteuer)</t>
  </si>
  <si>
    <t xml:space="preserve">0 % ohne Kirchenmitgliedschaft, sonst 8 % (Bayern, Baden-Württemberg) oder 9 %. Die Einkommensteuer rechnet das Blatt nach dem Grundtarif (unten). Nach der ersten Steuererklärung setzt das Finanzamt meist Vorauszahlungen fest (§ 37 EStG).</t>
  </si>
  <si>
    <t xml:space="preserve">Privatbedarf je Jahr</t>
  </si>
  <si>
    <t xml:space="preserve">Gewinn als Grundlage (Ergebnis aus der Rentabilität)</t>
  </si>
  <si>
    <t xml:space="preserve">Kranken- und Pflegeversicherung</t>
  </si>
  <si>
    <t xml:space="preserve">zu versteuerndes Einkommen (vereinfacht)</t>
  </si>
  <si>
    <t xml:space="preserve">Einkommensteuer nach Grundtarif</t>
  </si>
  <si>
    <t xml:space="preserve">abzüglich Anrechnung Gewerbesteuer (§ 35 EStG)</t>
  </si>
  <si>
    <t xml:space="preserve">Einkommensteuer und Kirchensteuer</t>
  </si>
  <si>
    <t xml:space="preserve">Privatbedarf</t>
  </si>
  <si>
    <t xml:space="preserve">abzüglich sonstige Einkünfte im Jahr (Eingabe)</t>
  </si>
  <si>
    <t xml:space="preserve">Privatentnahmen</t>
  </si>
  <si>
    <t xml:space="preserve">Sonstige Einkünfte sind Geld für den Lebensunterhalt, das nicht aus dem Unternehmen kommt, z. B. Gründungszuschuss (sechs Monate Arbeitslosengeld plus Pauschale, danach auf Antrag neun Monate Pauschale), Teilzeitjob oder anteilig das Einkommen des Partners. Je Planjahr als Summe eintragen. Nicht zusätzlich im Blatt Finanzierung eintragen.</t>
  </si>
  <si>
    <t xml:space="preserve">Einkommensteuer vereinfacht: zu versteuerndes Einkommen = Gewinn − Kranken- und Pflegeversicherung − Altersvorsorge; Grundtarif (Alleinstehende). Anrechnung der Gewerbesteuer bis zum Vierfachen des Messbetrags. Nicht berücksichtigt: Splittingtarif bei Zusammenveranlagung, andere Einkünfte, weitere Abzüge; Solidaritätszuschlag fällt bei diesen Einkommen in der Regel nicht an. Für eine genaue Zahl: Steuerbüro oder Einkommensteuerrechner des Bundesfinanzministeriums.</t>
  </si>
  <si>
    <t xml:space="preserve">Einkommensteuer-Grundtarif (§ 32a Abs. 1 EStG, ab 2026)</t>
  </si>
  <si>
    <t xml:space="preserve">Wert</t>
  </si>
  <si>
    <t xml:space="preserve">Grundfreibetrag bis</t>
  </si>
  <si>
    <t xml:space="preserve">Gesetzliche Werte für 2026. Spätere Jahre weichen meist nur wenig ab; für die Planung ausreichend. Bei Gesetzesänderung anpassen.</t>
  </si>
  <si>
    <t xml:space="preserve">Zone 2 bis</t>
  </si>
  <si>
    <t xml:space="preserve">Zone 3 bis</t>
  </si>
  <si>
    <t xml:space="preserve">Zone 4 bis</t>
  </si>
  <si>
    <t xml:space="preserve">Zone 2 Faktor</t>
  </si>
  <si>
    <t xml:space="preserve">Zone 2 Zuschlag</t>
  </si>
  <si>
    <t xml:space="preserve">Zone 3 Faktor</t>
  </si>
  <si>
    <t xml:space="preserve">Zone 3 Zuschlag</t>
  </si>
  <si>
    <t xml:space="preserve">Zone 3 Sockel</t>
  </si>
  <si>
    <t xml:space="preserve">Zone 4 Satz</t>
  </si>
  <si>
    <t xml:space="preserve">Zone 4 Abzug</t>
  </si>
  <si>
    <t xml:space="preserve">Zone 5 Satz</t>
  </si>
  <si>
    <t xml:space="preserve">Zone 5 Abzug</t>
  </si>
  <si>
    <t xml:space="preserve">Kapitalbedarfsplan</t>
  </si>
  <si>
    <t xml:space="preserve">Alles, was vor und kurz nach dem Start bezahlt werden muss. Investitionen in Jahr 2 oder 3 zahlt das laufende Geschäft (Blatt Liquidität).</t>
  </si>
  <si>
    <t xml:space="preserve">Position</t>
  </si>
  <si>
    <t xml:space="preserve">Betrag netto (€)</t>
  </si>
  <si>
    <t xml:space="preserve">Nutzungsdauer (Jahre)</t>
  </si>
  <si>
    <t xml:space="preserve">gekauft in Jahr (1–3)</t>
  </si>
  <si>
    <t xml:space="preserve">Abschreibung Jahr 1</t>
  </si>
  <si>
    <t xml:space="preserve">Abschreibung Jahr 2</t>
  </si>
  <si>
    <t xml:space="preserve">Abschreibung Jahr 3</t>
  </si>
  <si>
    <t xml:space="preserve">1. Investitionen</t>
  </si>
  <si>
    <t xml:space="preserve">Rechner, Bildschirm, Software</t>
  </si>
  <si>
    <t xml:space="preserve">Nutzungsdauer laut amtlicher AfA-Tabelle. Computerhardware und Software: ein Jahr zulässig (BMF-Schreiben vom 22.02.2022). Geringwertige Wirtschaftsgüter bis zur Grenze in § 6 Abs. 2 EStG: sofort (Nutzungsdauer 1). Daneben Sammelposten (§ 6 Abs. 2a EStG) und befristet degressive Abschreibung (§ 7 Abs. 2 EStG). Im Zweifel Steuerbüro fragen.</t>
  </si>
  <si>
    <t xml:space="preserve">Büromöbel</t>
  </si>
  <si>
    <t xml:space="preserve">Investition 3</t>
  </si>
  <si>
    <t xml:space="preserve">Investition 4</t>
  </si>
  <si>
    <t xml:space="preserve">Investition 5</t>
  </si>
  <si>
    <t xml:space="preserve">Investitionen im Jahr 1 (Kapitalbedarf)</t>
  </si>
  <si>
    <t xml:space="preserve">Investitionen in Jahr 2 / Jahr 3 (aus dem laufenden Geschäft)</t>
  </si>
  <si>
    <t xml:space="preserve">2. Gründungs- und Anlaufkosten</t>
  </si>
  <si>
    <t xml:space="preserve">Beratung, Anmeldung, Website</t>
  </si>
  <si>
    <t xml:space="preserve">Notar und Handelsregister (GmbH/UG)</t>
  </si>
  <si>
    <t xml:space="preserve">weitere Gründungskosten</t>
  </si>
  <si>
    <t xml:space="preserve">Summe Gründungs- und Anlaufkosten</t>
  </si>
  <si>
    <t xml:space="preserve">3. Markteinführung, Warenlager, Kautionen</t>
  </si>
  <si>
    <t xml:space="preserve">Werbung zum Start</t>
  </si>
  <si>
    <t xml:space="preserve">Erstes Warenlager, Material</t>
  </si>
  <si>
    <t xml:space="preserve">Warenlager und Material gehen im ersten Jahr als Kosten in die Rentabilität ein.</t>
  </si>
  <si>
    <t xml:space="preserve">Kautionen (z. B. Miete)</t>
  </si>
  <si>
    <t xml:space="preserve">Kautionen sind kein Aufwand: Sie belasten nur die Liquidität.</t>
  </si>
  <si>
    <t xml:space="preserve">Summe Markteinführung, Warenlager, Kautionen</t>
  </si>
  <si>
    <t xml:space="preserve">4. Betriebsmittel für die Anlaufzeit</t>
  </si>
  <si>
    <t xml:space="preserve">Vorschlag:</t>
  </si>
  <si>
    <t xml:space="preserve">Vorschlag = größter aufgelaufener Fehlbetrag bis Ende Jahr 2 aus allen laufenden Ein- und Auszahlungen (einschließlich Zinsen, Tilgung, Umsatz- und Vorsteuer, Privatentnahmen), ohne Eigenkapital, Kredite und die Positionen 1 bis 3. Mindestens diesen Betrag einsetzen.</t>
  </si>
  <si>
    <t xml:space="preserve">5. Reserve für Unvorhergesehenes</t>
  </si>
  <si>
    <t xml:space="preserve">Planzahlen sind Schätzungen. Laut KfW-Gründungsmonitor 2026 setzten rund drei von zehn Gründenden mehr Kapital ein als geplant. Der Härtetest im Blatt Start zeigt, ob die Reserve reicht.</t>
  </si>
  <si>
    <t xml:space="preserve">Kapitalbedarf gesamt</t>
  </si>
  <si>
    <t xml:space="preserve">Finanzierungsplan</t>
  </si>
  <si>
    <t xml:space="preserve">Woher das Geld kommt. Die Summe muss den Kapitalbedarf decken.</t>
  </si>
  <si>
    <t xml:space="preserve">Quelle</t>
  </si>
  <si>
    <t xml:space="preserve">Betrag (€)</t>
  </si>
  <si>
    <t xml:space="preserve">Zinssatz je Jahr</t>
  </si>
  <si>
    <t xml:space="preserve">Laufzeit (Jahre)</t>
  </si>
  <si>
    <t xml:space="preserve">tilgungsfreie Jahre</t>
  </si>
  <si>
    <t xml:space="preserve">Art der Tilgung</t>
  </si>
  <si>
    <t xml:space="preserve">Eigenkapital (Ersparnisse)</t>
  </si>
  <si>
    <t xml:space="preserve">Förderkredit über die Hausbank</t>
  </si>
  <si>
    <t xml:space="preserve">gleiche Tilgung</t>
  </si>
  <si>
    <t xml:space="preserve">Zinssatz ist eine Annahme; Konditionen bei Hausbank oder Förderbank erfragen. „Annuität“ = gleiche Rate aus Zins und Tilgung.</t>
  </si>
  <si>
    <t xml:space="preserve">Kredit 2</t>
  </si>
  <si>
    <t xml:space="preserve">Zuschüsse und sonstige Mittel für das Unternehmen</t>
  </si>
  <si>
    <t xml:space="preserve">Der Gründungszuschuss gehört nicht hierher, sondern ins Blatt Lebenshaltung (sonstige Einkünfte).</t>
  </si>
  <si>
    <t xml:space="preserve">Finanzierung gesamt</t>
  </si>
  <si>
    <t xml:space="preserve">Kapitalbedarf</t>
  </si>
  <si>
    <t xml:space="preserve">Differenz</t>
  </si>
  <si>
    <t xml:space="preserve">Eigenkapitalquote (Eigenkapital / Finanzierung)</t>
  </si>
  <si>
    <t xml:space="preserve">Zins und Tilgung</t>
  </si>
  <si>
    <t xml:space="preserve">Restschuld zu Jahresbeginn Kredit 1</t>
  </si>
  <si>
    <t xml:space="preserve">Restschuld zu Jahresbeginn Kredit 2</t>
  </si>
  <si>
    <t xml:space="preserve">Tilgung Kredit 1</t>
  </si>
  <si>
    <t xml:space="preserve">Tilgung Kredit 2</t>
  </si>
  <si>
    <t xml:space="preserve">Zinsen Kredit 1</t>
  </si>
  <si>
    <t xml:space="preserve">Zinsen Kredit 2</t>
  </si>
  <si>
    <t xml:space="preserve">Zinsen gesamt</t>
  </si>
  <si>
    <t xml:space="preserve">Tilgung gesamt</t>
  </si>
  <si>
    <t xml:space="preserve">Vereinfacht: Auszahlung im ersten Monat, Zinsen jährlich aus der Restschuld zu Jahresbeginn. Ein Kredit ist kein Ertrag: Auszahlung und Tilgung stehen nur in der Liquidität, in der Rentabilität nur die Zinsen.</t>
  </si>
  <si>
    <t xml:space="preserve">Rentabilitätsvorschau</t>
  </si>
  <si>
    <t xml:space="preserve">Wird ein Gewinn erzielt, der den Privatbedarf deckt? Alle Werte kommen aus den anderen Blättern.</t>
  </si>
  <si>
    <t xml:space="preserve">Umsatz netto</t>
  </si>
  <si>
    <t xml:space="preserve">– Fremdkosten (Material, Wareneinsatz, Fremdleistungen)</t>
  </si>
  <si>
    <t xml:space="preserve">Rohertrag</t>
  </si>
  <si>
    <t xml:space="preserve">– Personal</t>
  </si>
  <si>
    <t xml:space="preserve">– Fixkosten</t>
  </si>
  <si>
    <t xml:space="preserve">– Gründungs- und Anlaufkosten, Werbung zum Start, Warenlager</t>
  </si>
  <si>
    <t xml:space="preserve">– Abschreibungen</t>
  </si>
  <si>
    <t xml:space="preserve">– Zinsen</t>
  </si>
  <si>
    <t xml:space="preserve">Ergebnis vor Gewerbesteuer</t>
  </si>
  <si>
    <t xml:space="preserve">– Gewerbesteuer (Schätzung)</t>
  </si>
  <si>
    <t xml:space="preserve">Ergebnis vor Einkommen- bzw. Körperschaftsteuer</t>
  </si>
  <si>
    <t xml:space="preserve">– Privatentnahmen (Einzelunternehmen und Personengesellschaften)</t>
  </si>
  <si>
    <t xml:space="preserve">Überdeckung (+) oder Unterdeckung (–)</t>
  </si>
  <si>
    <t xml:space="preserve">Gewinnschwelle und Mindestumsatz</t>
  </si>
  <si>
    <t xml:space="preserve">Anteil der Fremdkosten am Umsatz</t>
  </si>
  <si>
    <t xml:space="preserve">Umsatz für ein Ergebnis von null (Gewinnschwelle)</t>
  </si>
  <si>
    <t xml:space="preserve">Mindestumsatz, der auch die Privatentnahmen deckt</t>
  </si>
  <si>
    <t xml:space="preserve">Mindestumsatz je Monat</t>
  </si>
  <si>
    <t xml:space="preserve">Geplanter Umsatz über (+) oder unter (–) dem Mindestumsatz</t>
  </si>
  <si>
    <t xml:space="preserve">Erster Monat mit Gewinn (Jahr 1)</t>
  </si>
  <si>
    <t xml:space="preserve">Erster Monat, der auch die Privatentnahmen deckt</t>
  </si>
  <si>
    <t xml:space="preserve">Gewinnschwelle und Mindestumsatz ohne Gewerbesteuer gerechnet; im ersten Jahr einschließlich der einmaligen Gründungskosten. Der erste Monat mit Gewinn rechnet mit einem Zwölftel von Abschreibung und Zinsen und ohne die einmaligen Kosten.</t>
  </si>
  <si>
    <t xml:space="preserve">Kapitaldienst (Zins und Tilgung tragbar?)</t>
  </si>
  <si>
    <t xml:space="preserve">Ergebnis + Abschreibungen + Zinsen – Privatentnahmen</t>
  </si>
  <si>
    <t xml:space="preserve">Kapitaldienst (Zinsen + Tilgung)</t>
  </si>
  <si>
    <t xml:space="preserve">Kapitaldienst gedeckt?</t>
  </si>
  <si>
    <t xml:space="preserve">Banken prüfen, ob Zins und Tilgung aus dem laufenden Geschäft bezahlt werden können (Kapitaldienstfähigkeit). Im ersten Jahr deckt oft noch der Kapitalbedarf die Lücke; ab Jahr 2 sollte hier „ja“ stehen. Bei GmbH und UG ist die Körperschaftsteuer nicht abgezogen.</t>
  </si>
  <si>
    <t xml:space="preserve">Liquiditätsplan</t>
  </si>
  <si>
    <t xml:space="preserve">Ein- und Auszahlungen: erstes Jahr Monat für Monat, Jahr 2 und 3 als Summe. Der Kontostand darf nicht unter null fallen.</t>
  </si>
  <si>
    <t xml:space="preserve">Kontostand zu Beginn</t>
  </si>
  <si>
    <t xml:space="preserve">Einzahlungen</t>
  </si>
  <si>
    <t xml:space="preserve">Zahlungseingang aus Umsatz (netto)</t>
  </si>
  <si>
    <t xml:space="preserve">Umsatzsteuer in den Zahlungseingängen</t>
  </si>
  <si>
    <t xml:space="preserve">Eigenkapital</t>
  </si>
  <si>
    <t xml:space="preserve">Kredite</t>
  </si>
  <si>
    <t xml:space="preserve">Zuschüsse und sonstige Mittel</t>
  </si>
  <si>
    <t xml:space="preserve">Summe Einzahlungen</t>
  </si>
  <si>
    <t xml:space="preserve">Auszahlungen</t>
  </si>
  <si>
    <t xml:space="preserve">Fremdkosten</t>
  </si>
  <si>
    <t xml:space="preserve">Fixkosten</t>
  </si>
  <si>
    <t xml:space="preserve">Investitionen</t>
  </si>
  <si>
    <t xml:space="preserve">Gründungskosten, Werbung zum Start, Warenlager, Kautionen</t>
  </si>
  <si>
    <t xml:space="preserve">Weitere Auszahlungen (Eingabe)</t>
  </si>
  <si>
    <t xml:space="preserve">Vorsteuer in den Auszahlungen</t>
  </si>
  <si>
    <t xml:space="preserve">Umsatzsteuer an das Finanzamt (Vormonat; minus = Erstattung)</t>
  </si>
  <si>
    <t xml:space="preserve">Zinsen</t>
  </si>
  <si>
    <t xml:space="preserve">Tilgung</t>
  </si>
  <si>
    <t xml:space="preserve">Gewerbesteuer (für das Vorjahr)</t>
  </si>
  <si>
    <t xml:space="preserve">Summe Auszahlungen</t>
  </si>
  <si>
    <t xml:space="preserve">Überschuss oder Fehlbetrag</t>
  </si>
  <si>
    <t xml:space="preserve">Kontostand am Ende</t>
  </si>
  <si>
    <t xml:space="preserve">Niedrigster Kontostand im ersten Jahr</t>
  </si>
  <si>
    <t xml:space="preserve">Kontostand am Ende von Jahr 1 / Jahr 2 / Jahr 3</t>
  </si>
  <si>
    <t xml:space="preserve">Hilfsrechnungen (nicht ändern)</t>
  </si>
  <si>
    <t xml:space="preserve">Laufender Saldo ohne Eigenkapital, Kredite, Zuschüsse, Investitionen Jahr 1 und Positionen 2–3 des Kapitalbedarfs</t>
  </si>
  <si>
    <t xml:space="preserve">aufgelaufen</t>
  </si>
  <si>
    <t xml:space="preserve">Vorschlag Betriebsmittel für die Anlaufzeit (bis Ende Jahr 2)</t>
  </si>
  <si>
    <t xml:space="preserve">Monatsergebnis (ohne einmalige Kosten)</t>
  </si>
  <si>
    <t xml:space="preserve">Monatsergebnis nach Privatentnahme</t>
  </si>
  <si>
    <t xml:space="preserve">Monat Nr., wenn Ergebnis ≥ 0 / nach Privatentnahme ≥ 0</t>
  </si>
  <si>
    <t xml:space="preserve">erster Monat mit Gewinn (99 = keiner)</t>
  </si>
  <si>
    <t xml:space="preserve">erster Monat, der auch die Privatentnahme deckt (99 = keiner)</t>
  </si>
  <si>
    <t xml:space="preserve">Hilfszeile</t>
  </si>
  <si>
    <t xml:space="preserve">Vereinfacht: Umsatzsteuer nach Sollversteuerung im Folgemonat (monatliche Voranmeldung). Gewerbesteuer des Vorjahres im Folgejahr; Vorauszahlungen setzt das Finanzamt später fest. Zahlungsziel der Kunden im Blatt Start. Weitere Auszahlungen nur eintragen, was nicht schon in den Kosten steht (z. B. Steuernachzahlung, private Einmalausgabe).</t>
  </si>
  <si>
    <t xml:space="preserve">Prüfung</t>
  </si>
  <si>
    <t xml:space="preserve">Steht überall „ja“ (oder „entfällt“), ist der Plan in sich stimmig. Bei „nein“ die Zahlen im genannten Blatt anpassen.</t>
  </si>
  <si>
    <t xml:space="preserve">Gesamtergebnis</t>
  </si>
  <si>
    <t xml:space="preserve">Prüfpunkt</t>
  </si>
  <si>
    <t xml:space="preserve">Ergebnis</t>
  </si>
  <si>
    <t xml:space="preserve">Was tun bei „nein“</t>
  </si>
  <si>
    <t xml:space="preserve">Finanzierung deckt den Kapitalbedarf</t>
  </si>
  <si>
    <t xml:space="preserve">Eigenkapital, Kredit oder Zuschüsse erhöhen oder den Kapitalbedarf senken.</t>
  </si>
  <si>
    <t xml:space="preserve">Kontostand fällt im ersten Jahr in keinem Monat unter null</t>
  </si>
  <si>
    <t xml:space="preserve">Betriebsmittel oder Reserve im Kapitalbedarf erhöhen, Anlaufzeit länger planen.</t>
  </si>
  <si>
    <t xml:space="preserve">Kontostand am Ende von Jahr 2 und 3 nicht unter null</t>
  </si>
  <si>
    <t xml:space="preserve">Tilgung später beginnen lassen, Kosten senken, Umsatzplanung prüfen.</t>
  </si>
  <si>
    <t xml:space="preserve">Betriebsmittel mindestens so hoch wie der Vorschlag</t>
  </si>
  <si>
    <t xml:space="preserve">Betriebsmittel im Kapitalbedarf an den Vorschlag anpassen.</t>
  </si>
  <si>
    <t xml:space="preserve">Zins und Tilgung in Jahr 2 und 3 aus dem Geschäft bezahlbar</t>
  </si>
  <si>
    <t xml:space="preserve">Längere Laufzeit oder mehr tilgungsfreie Jahre, Kosten senken, Umsatz prüfen.</t>
  </si>
  <si>
    <t xml:space="preserve">Privatentnahmen spätestens im dritten Jahr gedeckt</t>
  </si>
  <si>
    <t xml:space="preserve">Preise, Mengen und Kosten prüfen. Bleibt es bei Unterdeckung, trägt sich das Vorhaben so nicht.</t>
  </si>
  <si>
    <t xml:space="preserve">Ergebnis im dritten Jahr positiv</t>
  </si>
  <si>
    <t xml:space="preserve">Geschäftsmodell und Kosten überprüfen.</t>
  </si>
  <si>
    <t xml:space="preserve">Kleinunternehmerregelung nach den Umsätzen möglich</t>
  </si>
  <si>
    <t xml:space="preserve">Grenzen nach § 19 UStG überschritten: Regelbesteuerung wählen (Blatt Start) und Preise netto kalkulieren. Planjahre sind keine Kalenderjahre; im Grenzbereich Steuerbüro fragen.</t>
  </si>
  <si>
    <t xml:space="preserve">Jede Investition hat eine Nutzungsdauer</t>
  </si>
  <si>
    <t xml:space="preserve">Im Blatt Kapitalbedarf die Nutzungsdauer ergänzen, sonst fehlt die Abschreibung.</t>
  </si>
  <si>
    <t xml:space="preserve">Kredite: Laufzeit länger als die tilgungsfreien Jahre</t>
  </si>
  <si>
    <t xml:space="preserve">Laufzeit und tilgungsfreie Jahre im Blatt Finanzierung prüfen.</t>
  </si>
  <si>
    <t xml:space="preserve">Härtetest ausgeschaltet (für den fertigen Plan)</t>
  </si>
  <si>
    <t xml:space="preserve">Im Blatt Start beide Härtetest-Felder auf 0 setzen, bevor Sie den Plan abgeben.</t>
  </si>
  <si>
    <t xml:space="preserve">Prüfen Sie zusätzlich: Ist jede wichtige Annahme begründet (Preise, Mengen, Mieten, Angebote)? Passen die Zahlen zum Textteil des Businessplans? Härtetest: im Blatt Start 33 % weniger Umsatz oder 3 Monate späteren Start einstellen und ansehen, welche Prüfpunkte kippen.</t>
  </si>
</sst>
</file>

<file path=xl/styles.xml><?xml version="1.0" encoding="utf-8"?>
<styleSheet xmlns="http://schemas.openxmlformats.org/spreadsheetml/2006/main">
  <numFmts count="7">
    <numFmt numFmtId="164" formatCode="General"/>
    <numFmt numFmtId="165" formatCode="mmmm\ yyyy"/>
    <numFmt numFmtId="166" formatCode="0.0%;[RED]\-0.0%;\–"/>
    <numFmt numFmtId="167" formatCode="#,##0;[RED]\-#,##0;\–"/>
    <numFmt numFmtId="168" formatCode="#,##0&quot; €&quot;;[RED]\-#,##0&quot; €&quot;;\–"/>
    <numFmt numFmtId="169" formatCode="mmm\ yy"/>
    <numFmt numFmtId="170" formatCode="#,##0.0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name val="Arial"/>
      <family val="0"/>
      <charset val="1"/>
    </font>
    <font>
      <sz val="10"/>
      <color rgb="FF0000FF"/>
      <name val="Arial"/>
      <family val="0"/>
      <charset val="1"/>
    </font>
    <font>
      <i val="true"/>
      <sz val="9"/>
      <color rgb="FF555555"/>
      <name val="Arial"/>
      <family val="0"/>
      <charset val="1"/>
    </font>
    <font>
      <sz val="8"/>
      <color rgb="FFBBBBBB"/>
      <name val="Arial"/>
      <family val="0"/>
      <charset val="1"/>
    </font>
    <font>
      <b val="true"/>
      <sz val="10"/>
      <color theme="1"/>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EAF2FB"/>
        <bgColor rgb="FFF2F2F2"/>
      </patternFill>
    </fill>
    <fill>
      <patternFill patternType="solid">
        <fgColor rgb="FFFFF6C8"/>
        <bgColor rgb="FFFFFBE8"/>
      </patternFill>
    </fill>
    <fill>
      <patternFill patternType="solid">
        <fgColor rgb="FFE6E6E6"/>
        <bgColor rgb="FFEAF2FB"/>
      </patternFill>
    </fill>
    <fill>
      <patternFill patternType="solid">
        <fgColor rgb="FFF2F2F2"/>
        <bgColor rgb="FFEAF2FB"/>
      </patternFill>
    </fill>
    <fill>
      <patternFill patternType="solid">
        <fgColor rgb="FFFFFBE8"/>
        <bgColor rgb="FFF2F2F2"/>
      </patternFill>
    </fill>
  </fills>
  <borders count="2">
    <border diagonalUp="false" diagonalDown="false">
      <left/>
      <right/>
      <top/>
      <bottom/>
      <diagonal/>
    </border>
    <border diagonalUp="false" diagonalDown="false">
      <left/>
      <right/>
      <top style="thin">
        <color rgb="FF999999"/>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true">
      <alignment horizontal="general" vertical="bottom" textRotation="0" wrapText="false" indent="0" shrinkToFit="false"/>
      <protection locked="false" hidden="false"/>
    </xf>
    <xf numFmtId="164" fontId="8" fillId="0" borderId="0" xfId="0" applyFont="true" applyBorder="false" applyAlignment="true" applyProtection="false">
      <alignment horizontal="general" vertical="top" textRotation="0" wrapText="true" indent="0" shrinkToFit="false"/>
      <protection locked="true" hidden="false"/>
    </xf>
    <xf numFmtId="165" fontId="7" fillId="3" borderId="0" xfId="0" applyFont="true" applyBorder="false" applyAlignment="false" applyProtection="true">
      <alignment horizontal="general" vertical="bottom" textRotation="0" wrapText="false" indent="0" shrinkToFit="false"/>
      <protection locked="false" hidden="false"/>
    </xf>
    <xf numFmtId="166" fontId="7" fillId="3" borderId="0" xfId="0" applyFont="true" applyBorder="false" applyAlignment="false" applyProtection="true">
      <alignment horizontal="general" vertical="bottom" textRotation="0" wrapText="false" indent="0" shrinkToFit="false"/>
      <protection locked="false" hidden="false"/>
    </xf>
    <xf numFmtId="167" fontId="7" fillId="3" borderId="0" xfId="0" applyFont="true" applyBorder="false" applyAlignment="false" applyProtection="true">
      <alignment horizontal="general" vertical="bottom" textRotation="0" wrapText="false" indent="0" shrinkToFit="false"/>
      <protection locked="false" hidden="false"/>
    </xf>
    <xf numFmtId="168" fontId="7" fillId="3" borderId="0" xfId="0" applyFont="true" applyBorder="false" applyAlignment="false" applyProtection="true">
      <alignment horizontal="general" vertical="bottom" textRotation="0" wrapText="false" indent="0" shrinkToFit="false"/>
      <protection locked="fals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general" vertical="center" textRotation="0" wrapText="true" indent="0" shrinkToFit="false"/>
      <protection locked="true" hidden="false"/>
    </xf>
    <xf numFmtId="169" fontId="5" fillId="4" borderId="0" xfId="0" applyFont="true" applyBorder="false" applyAlignment="true" applyProtection="false">
      <alignment horizontal="right"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5" fillId="5" borderId="1" xfId="0" applyFont="true" applyBorder="tru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8" fontId="5"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8" fontId="7" fillId="6" borderId="0" xfId="0" applyFont="true" applyBorder="false" applyAlignment="false" applyProtection="true">
      <alignment horizontal="general" vertical="bottom" textRotation="0" wrapText="false" indent="0" shrinkToFit="false"/>
      <protection locked="fals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70" fontId="7" fillId="6" borderId="0" xfId="0" applyFont="true" applyBorder="false" applyAlignment="false" applyProtection="true">
      <alignment horizontal="general" vertical="bottom" textRotation="0" wrapText="false" indent="0" shrinkToFit="false"/>
      <protection locked="fals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D9F2D9"/>
        </patternFill>
      </fill>
    </dxf>
    <dxf>
      <fill>
        <patternFill>
          <bgColor rgb="FFF8D0D0"/>
        </patternFill>
      </fill>
    </dxf>
  </dxfs>
  <colors>
    <indexedColors>
      <rgbColor rgb="FF000000"/>
      <rgbColor rgb="FFFFFBE8"/>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78787"/>
      <rgbColor rgb="FF9999FF"/>
      <rgbColor rgb="FF993366"/>
      <rgbColor rgb="FFFFF6C8"/>
      <rgbColor rgb="FFEAF2FB"/>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D9F2D9"/>
      <rgbColor rgb="FFE6E6E6"/>
      <rgbColor rgb="FF99CCFF"/>
      <rgbColor rgb="FFFF99CC"/>
      <rgbColor rgb="FFCC99FF"/>
      <rgbColor rgb="FFF8D0D0"/>
      <rgbColor rgb="FF3366FF"/>
      <rgbColor rgb="FF33CCCC"/>
      <rgbColor rgb="FF99CC00"/>
      <rgbColor rgb="FFFFCC00"/>
      <rgbColor rgb="FFFF9900"/>
      <rgbColor rgb="FFFF6600"/>
      <rgbColor rgb="FF4A7EBB"/>
      <rgbColor rgb="FF999999"/>
      <rgbColor rgb="FF003366"/>
      <rgbColor rgb="FF339966"/>
      <rgbColor rgb="FF003300"/>
      <rgbColor rgb="FF333300"/>
      <rgbColor rgb="FF9933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Kontostand am Monatsende (Jahr 1)</a:t>
            </a:r>
          </a:p>
        </c:rich>
      </c:tx>
      <c:overlay val="0"/>
      <c:spPr>
        <a:noFill/>
        <a:ln w="0">
          <a:noFill/>
        </a:ln>
      </c:spPr>
    </c:title>
    <c:autoTitleDeleted val="0"/>
    <c:plotArea>
      <c:lineChart>
        <c:grouping val="standard"/>
        <c:varyColors val="0"/>
        <c:ser>
          <c:idx val="0"/>
          <c:order val="0"/>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Liquidität!$B$4:$M$4</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Liquidität!$B$28:$M$28</c:f>
              <c:numCache>
                <c:formatCode>#,##0" €";[RED]\-#,##0" €";\–</c:formatCode>
                <c:ptCount val="12"/>
                <c:pt idx="0">
                  <c:v>10151</c:v>
                </c:pt>
                <c:pt idx="1">
                  <c:v>9836</c:v>
                </c:pt>
                <c:pt idx="2">
                  <c:v>8525.2</c:v>
                </c:pt>
                <c:pt idx="3">
                  <c:v>7085.2</c:v>
                </c:pt>
                <c:pt idx="4">
                  <c:v>6454.4</c:v>
                </c:pt>
                <c:pt idx="5">
                  <c:v>5694.4</c:v>
                </c:pt>
                <c:pt idx="6">
                  <c:v>5743.6</c:v>
                </c:pt>
                <c:pt idx="7">
                  <c:v>5663.6</c:v>
                </c:pt>
                <c:pt idx="8">
                  <c:v>6392.8</c:v>
                </c:pt>
                <c:pt idx="9">
                  <c:v>6992.8</c:v>
                </c:pt>
                <c:pt idx="10">
                  <c:v>7592.8</c:v>
                </c:pt>
                <c:pt idx="11">
                  <c:v>8192.8</c:v>
                </c:pt>
              </c:numCache>
            </c:numRef>
          </c:val>
          <c:smooth val="1"/>
        </c:ser>
        <c:hiLowLines>
          <c:spPr>
            <a:ln w="0">
              <a:noFill/>
            </a:ln>
          </c:spPr>
        </c:hiLowLines>
        <c:marker val="0"/>
        <c:axId val="85657276"/>
        <c:axId val="86949642"/>
      </c:lineChart>
      <c:catAx>
        <c:axId val="85657276"/>
        <c:scaling>
          <c:orientation val="minMax"/>
        </c:scaling>
        <c:delete val="0"/>
        <c:axPos val="b"/>
        <c:numFmt formatCode="mmm\ 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6949642"/>
        <c:crosses val="autoZero"/>
        <c:auto val="1"/>
        <c:lblAlgn val="ctr"/>
        <c:lblOffset val="100"/>
        <c:noMultiLvlLbl val="0"/>
      </c:catAx>
      <c:valAx>
        <c:axId val="8694964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565727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46</xdr:row>
      <xdr:rowOff>160560</xdr:rowOff>
    </xdr:from>
    <xdr:to>
      <xdr:col>7</xdr:col>
      <xdr:colOff>181440</xdr:colOff>
      <xdr:row>61</xdr:row>
      <xdr:rowOff>2880</xdr:rowOff>
    </xdr:to>
    <xdr:graphicFrame>
      <xdr:nvGraphicFramePr>
        <xdr:cNvPr id="0" name="Chart 1"/>
        <xdr:cNvGraphicFramePr/>
      </xdr:nvGraphicFramePr>
      <xdr:xfrm>
        <a:off x="0" y="9267840"/>
        <a:ext cx="863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8.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4"/>
    <col collapsed="false" customWidth="true" hidden="false" outlineLevel="0" max="3" min="3" style="0" width="62"/>
  </cols>
  <sheetData>
    <row r="1" customFormat="false" ht="17.35" hidden="false" customHeight="false" outlineLevel="0" collapsed="false">
      <c r="A1" s="1" t="s">
        <v>0</v>
      </c>
    </row>
    <row r="2" customFormat="false" ht="42" hidden="false" customHeight="true" outlineLevel="0" collapsed="false">
      <c r="A2" s="2" t="s">
        <v>1</v>
      </c>
      <c r="B2" s="2"/>
      <c r="C2" s="2"/>
    </row>
    <row r="4" customFormat="false" ht="15" hidden="false" customHeight="false" outlineLevel="0" collapsed="false">
      <c r="A4" s="3" t="s">
        <v>2</v>
      </c>
    </row>
    <row r="5" customFormat="false" ht="25.5" hidden="false" customHeight="true" outlineLevel="0" collapsed="false">
      <c r="A5" s="4" t="s">
        <v>3</v>
      </c>
      <c r="B5" s="5" t="s">
        <v>4</v>
      </c>
      <c r="C5" s="6" t="s">
        <v>5</v>
      </c>
    </row>
    <row r="6" customFormat="false" ht="25.5" hidden="false" customHeight="true" outlineLevel="0" collapsed="false">
      <c r="A6" s="4" t="s">
        <v>6</v>
      </c>
      <c r="B6" s="7" t="n">
        <v>46388</v>
      </c>
      <c r="C6" s="6" t="s">
        <v>7</v>
      </c>
    </row>
    <row r="7" customFormat="false" ht="25.5" hidden="false" customHeight="true" outlineLevel="0" collapsed="false">
      <c r="A7" s="4" t="s">
        <v>8</v>
      </c>
      <c r="B7" s="5" t="s">
        <v>9</v>
      </c>
      <c r="C7" s="6" t="s">
        <v>10</v>
      </c>
    </row>
    <row r="8" customFormat="false" ht="25.5" hidden="false" customHeight="true" outlineLevel="0" collapsed="false">
      <c r="A8" s="4" t="s">
        <v>11</v>
      </c>
      <c r="B8" s="5" t="s">
        <v>12</v>
      </c>
      <c r="C8" s="6" t="s">
        <v>13</v>
      </c>
    </row>
    <row r="9" customFormat="false" ht="25.5" hidden="false" customHeight="true" outlineLevel="0" collapsed="false">
      <c r="A9" s="4" t="s">
        <v>14</v>
      </c>
      <c r="B9" s="8" t="n">
        <v>4</v>
      </c>
      <c r="C9" s="6" t="s">
        <v>15</v>
      </c>
    </row>
    <row r="10" customFormat="false" ht="25.5" hidden="false" customHeight="true" outlineLevel="0" collapsed="false">
      <c r="A10" s="4" t="s">
        <v>16</v>
      </c>
      <c r="B10" s="5" t="s">
        <v>17</v>
      </c>
      <c r="C10" s="6" t="s">
        <v>18</v>
      </c>
    </row>
    <row r="11" customFormat="false" ht="25.5" hidden="false" customHeight="true" outlineLevel="0" collapsed="false">
      <c r="A11" s="4" t="s">
        <v>19</v>
      </c>
      <c r="B11" s="8" t="n">
        <v>0.19</v>
      </c>
      <c r="C11" s="6" t="s">
        <v>20</v>
      </c>
    </row>
    <row r="12" customFormat="false" ht="25.5" hidden="false" customHeight="true" outlineLevel="0" collapsed="false">
      <c r="A12" s="4" t="s">
        <v>21</v>
      </c>
      <c r="B12" s="9" t="n">
        <v>0</v>
      </c>
      <c r="C12" s="6" t="s">
        <v>22</v>
      </c>
    </row>
    <row r="13" customFormat="false" ht="25.5" hidden="false" customHeight="true" outlineLevel="0" collapsed="false">
      <c r="A13" s="4" t="s">
        <v>23</v>
      </c>
      <c r="B13" s="8" t="n">
        <v>0.03</v>
      </c>
      <c r="C13" s="6" t="s">
        <v>24</v>
      </c>
    </row>
    <row r="14" customFormat="false" ht="25.5" hidden="false" customHeight="true" outlineLevel="0" collapsed="false">
      <c r="A14" s="4" t="s">
        <v>25</v>
      </c>
      <c r="B14" s="8" t="n">
        <v>0</v>
      </c>
      <c r="C14" s="6" t="s">
        <v>26</v>
      </c>
    </row>
    <row r="15" customFormat="false" ht="25.5" hidden="false" customHeight="true" outlineLevel="0" collapsed="false">
      <c r="A15" s="4" t="s">
        <v>27</v>
      </c>
      <c r="B15" s="9" t="n">
        <v>0</v>
      </c>
      <c r="C15" s="6" t="s">
        <v>28</v>
      </c>
    </row>
    <row r="16" customFormat="false" ht="25.5" hidden="false" customHeight="true" outlineLevel="0" collapsed="false">
      <c r="A16" s="4" t="s">
        <v>29</v>
      </c>
      <c r="B16" s="10" t="n">
        <v>24500</v>
      </c>
      <c r="C16" s="6" t="s">
        <v>30</v>
      </c>
    </row>
    <row r="17" customFormat="false" ht="25.5" hidden="false" customHeight="true" outlineLevel="0" collapsed="false">
      <c r="A17" s="4" t="s">
        <v>31</v>
      </c>
      <c r="B17" s="8" t="n">
        <v>0.035</v>
      </c>
      <c r="C17" s="6" t="s">
        <v>32</v>
      </c>
    </row>
    <row r="18" customFormat="false" ht="25.5" hidden="false" customHeight="true" outlineLevel="0" collapsed="false">
      <c r="A18" s="4" t="s">
        <v>33</v>
      </c>
      <c r="B18" s="10" t="n">
        <v>25000</v>
      </c>
      <c r="C18" s="6" t="s">
        <v>34</v>
      </c>
    </row>
    <row r="19" customFormat="false" ht="25.5" hidden="false" customHeight="true" outlineLevel="0" collapsed="false">
      <c r="A19" s="4" t="s">
        <v>35</v>
      </c>
      <c r="B19" s="10" t="n">
        <v>100000</v>
      </c>
      <c r="C19" s="6" t="s">
        <v>36</v>
      </c>
    </row>
    <row r="20" customFormat="false" ht="15" hidden="false" customHeight="false" outlineLevel="0" collapsed="false">
      <c r="A20" s="4" t="s">
        <v>37</v>
      </c>
      <c r="B20" s="11" t="n">
        <f aca="false">IF(TRIM(LOWER(B10))="ja",1,0)</f>
        <v>0</v>
      </c>
    </row>
    <row r="21" customFormat="false" ht="15" hidden="false" customHeight="false" outlineLevel="0" collapsed="false">
      <c r="A21" s="4" t="s">
        <v>38</v>
      </c>
      <c r="B21" s="12" t="n">
        <f aca="false">IF(B20=1,0,B11)</f>
        <v>0.19</v>
      </c>
    </row>
    <row r="22" customFormat="false" ht="15" hidden="false" customHeight="false" outlineLevel="0" collapsed="false">
      <c r="A22" s="4" t="s">
        <v>39</v>
      </c>
      <c r="B22" s="4" t="str">
        <f aca="false">IF(B7="GmbH/UG","ja","nein")</f>
        <v>nein</v>
      </c>
    </row>
    <row r="25" customFormat="false" ht="15" hidden="false" customHeight="true" outlineLevel="0" collapsed="false">
      <c r="A25" s="13" t="s">
        <v>40</v>
      </c>
      <c r="B25" s="13"/>
      <c r="C25" s="13"/>
    </row>
    <row r="26" customFormat="false" ht="13.5" hidden="false" customHeight="true" outlineLevel="0" collapsed="false">
      <c r="A26" s="14" t="s">
        <v>41</v>
      </c>
      <c r="B26" s="14"/>
      <c r="C26" s="14"/>
    </row>
    <row r="27" customFormat="false" ht="27.75" hidden="false" customHeight="true" outlineLevel="0" collapsed="false">
      <c r="A27" s="14" t="s">
        <v>42</v>
      </c>
      <c r="B27" s="14"/>
      <c r="C27" s="14"/>
    </row>
    <row r="28" customFormat="false" ht="27.75" hidden="false" customHeight="true" outlineLevel="0" collapsed="false">
      <c r="A28" s="14" t="s">
        <v>43</v>
      </c>
      <c r="B28" s="14"/>
      <c r="C28" s="14"/>
    </row>
    <row r="29" customFormat="false" ht="27.75" hidden="false" customHeight="true" outlineLevel="0" collapsed="false">
      <c r="A29" s="14" t="s">
        <v>44</v>
      </c>
      <c r="B29" s="14"/>
      <c r="C29" s="14"/>
    </row>
    <row r="30" customFormat="false" ht="42" hidden="false" customHeight="true" outlineLevel="0" collapsed="false">
      <c r="A30" s="14" t="s">
        <v>45</v>
      </c>
      <c r="B30" s="14"/>
      <c r="C30" s="14"/>
    </row>
    <row r="31" customFormat="false" ht="42" hidden="false" customHeight="true" outlineLevel="0" collapsed="false">
      <c r="A31" s="14" t="s">
        <v>46</v>
      </c>
      <c r="B31" s="14"/>
      <c r="C31" s="14"/>
    </row>
    <row r="32" customFormat="false" ht="15" hidden="false" customHeight="true" outlineLevel="0" collapsed="false">
      <c r="A32" s="13" t="s">
        <v>47</v>
      </c>
      <c r="B32" s="13"/>
      <c r="C32" s="13"/>
    </row>
    <row r="33" customFormat="false" ht="42" hidden="false" customHeight="true" outlineLevel="0" collapsed="false">
      <c r="A33" s="14" t="s">
        <v>48</v>
      </c>
      <c r="B33" s="14"/>
      <c r="C33" s="14"/>
    </row>
    <row r="34" customFormat="false" ht="27.75" hidden="false" customHeight="true" outlineLevel="0" collapsed="false">
      <c r="A34" s="14" t="s">
        <v>49</v>
      </c>
      <c r="B34" s="14"/>
      <c r="C34" s="14"/>
    </row>
    <row r="35" customFormat="false" ht="55.5" hidden="false" customHeight="true" outlineLevel="0" collapsed="false">
      <c r="A35" s="14" t="s">
        <v>50</v>
      </c>
      <c r="B35" s="14"/>
      <c r="C35" s="14"/>
    </row>
    <row r="36" customFormat="false" ht="42" hidden="false" customHeight="true" outlineLevel="0" collapsed="false">
      <c r="A36" s="14" t="s">
        <v>51</v>
      </c>
      <c r="B36" s="14"/>
      <c r="C36" s="14"/>
    </row>
    <row r="37" customFormat="false" ht="42" hidden="false" customHeight="true" outlineLevel="0" collapsed="false">
      <c r="A37" s="14" t="s">
        <v>52</v>
      </c>
      <c r="B37" s="14"/>
      <c r="C37" s="14"/>
    </row>
    <row r="38" customFormat="false" ht="27.75" hidden="false" customHeight="true" outlineLevel="0" collapsed="false">
      <c r="A38" s="14" t="s">
        <v>53</v>
      </c>
      <c r="B38" s="14"/>
      <c r="C38" s="14"/>
    </row>
    <row r="39" customFormat="false" ht="27.75" hidden="false" customHeight="true" outlineLevel="0" collapsed="false">
      <c r="A39" s="14" t="s">
        <v>54</v>
      </c>
      <c r="B39" s="14"/>
      <c r="C39" s="14"/>
    </row>
  </sheetData>
  <sheetProtection sheet="true" formatCells="false" formatColumns="false" formatRows="false"/>
  <mergeCells count="16">
    <mergeCell ref="A2:C2"/>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s>
  <dataValidations count="10">
    <dataValidation allowBlank="false" error="Bitte einen Wert aus der Liste wählen." errorStyle="stop" operator="between" showDropDown="false" showErrorMessage="true" showInputMessage="false" sqref="B7" type="list">
      <formula1>"Einzelunternehmen/Personengesellschaft,GmbH/UG"</formula1>
      <formula2>0</formula2>
    </dataValidation>
    <dataValidation allowBlank="false" error="Bitte einen Wert aus der Liste wählen." errorStyle="stop" operator="between" showDropDown="false" showErrorMessage="true" showInputMessage="false" sqref="B8" type="list">
      <formula1>"ja,nein"</formula1>
      <formula2>0</formula2>
    </dataValidation>
    <dataValidation allowBlank="false" error="Bitte einen Wert aus der Liste wählen." errorStyle="stop" operator="between" showDropDown="false" showErrorMessage="true" showInputMessage="false" sqref="B10" type="list">
      <formula1>"ja,nein"</formula1>
      <formula2>0</formula2>
    </dataValidation>
    <dataValidation allowBlank="true" error="Bitte einen Wert von 0 bis 10 eingeben." errorStyle="stop" operator="between" showDropDown="false" showErrorMessage="true" showInputMessage="false" sqref="B9" type="decimal">
      <formula1>0</formula1>
      <formula2>10</formula2>
    </dataValidation>
    <dataValidation allowBlank="true" error="Bitte einen Wert von 0 bis 0.3 eingeben." errorStyle="stop" operator="between" showDropDown="false" showErrorMessage="true" showInputMessage="false" sqref="B11" type="decimal">
      <formula1>0</formula1>
      <formula2>0.3</formula2>
    </dataValidation>
    <dataValidation allowBlank="true" error="Bitte einen Wert von 0 bis 2 eingeben." errorStyle="stop" operator="between" showDropDown="false" showErrorMessage="true" showInputMessage="false" sqref="B12" type="whole">
      <formula1>0</formula1>
      <formula2>2</formula2>
    </dataValidation>
    <dataValidation allowBlank="true" error="Bitte einen Wert von 0 bis 0.5 eingeben." errorStyle="stop" operator="between" showDropDown="false" showErrorMessage="true" showInputMessage="false" sqref="B13" type="decimal">
      <formula1>0</formula1>
      <formula2>0.5</formula2>
    </dataValidation>
    <dataValidation allowBlank="true" error="Bitte einen Wert von 0 bis 0.9 eingeben." errorStyle="stop" operator="between" showDropDown="false" showErrorMessage="true" showInputMessage="false" sqref="B14" type="decimal">
      <formula1>0</formula1>
      <formula2>0.9</formula2>
    </dataValidation>
    <dataValidation allowBlank="true" error="Bitte einen Wert von 0 bis 12 eingeben." errorStyle="stop" operator="between" showDropDown="false" showErrorMessage="true" showInputMessage="false" sqref="B15" type="whole">
      <formula1>0</formula1>
      <formula2>12</formula2>
    </dataValidation>
    <dataValidation allowBlank="true" error="Bitte einen Betrag ab 0 eingeben." errorStyle="stop" operator="greaterThanOrEqual" showDropDown="false" showErrorMessage="true" showInputMessage="false" sqref="B16 B18:B19" type="decimal">
      <formula1>0</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arbeitdigital.de/gruenden/finanzplan/ · für den eigenen Plan frei nutzbar, Fußzeile darf entfernt werden&amp;R&amp;8 &amp;A · Seite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3"/>
    <col collapsed="false" customWidth="true" hidden="false" outlineLevel="0" max="14" min="3" style="0" width="10"/>
    <col collapsed="false" customWidth="true" hidden="false" outlineLevel="0" max="17" min="15" style="0" width="12"/>
    <col collapsed="false" customWidth="true" hidden="false" outlineLevel="0" max="20" min="18" style="0" width="13"/>
  </cols>
  <sheetData>
    <row r="1" customFormat="false" ht="17.35" hidden="false" customHeight="false" outlineLevel="0" collapsed="false">
      <c r="A1" s="1" t="s">
        <v>55</v>
      </c>
    </row>
    <row r="2" customFormat="false" ht="15" hidden="false" customHeight="false" outlineLevel="0" collapsed="false">
      <c r="A2" s="15" t="s">
        <v>56</v>
      </c>
    </row>
    <row r="3" customFormat="false" ht="15" hidden="false" customHeight="false" outlineLevel="0" collapsed="false">
      <c r="A3" s="16" t="s">
        <v>57</v>
      </c>
      <c r="C3" s="16" t="n">
        <v>1</v>
      </c>
      <c r="D3" s="16" t="n">
        <v>2</v>
      </c>
      <c r="E3" s="16" t="n">
        <v>3</v>
      </c>
      <c r="F3" s="16" t="n">
        <v>4</v>
      </c>
      <c r="G3" s="16" t="n">
        <v>5</v>
      </c>
      <c r="H3" s="16" t="n">
        <v>6</v>
      </c>
      <c r="I3" s="16" t="n">
        <v>7</v>
      </c>
      <c r="J3" s="16" t="n">
        <v>8</v>
      </c>
      <c r="K3" s="16" t="n">
        <v>9</v>
      </c>
      <c r="L3" s="16" t="n">
        <v>10</v>
      </c>
      <c r="M3" s="16" t="n">
        <v>11</v>
      </c>
      <c r="N3" s="16" t="n">
        <v>12</v>
      </c>
    </row>
    <row r="4" customFormat="false" ht="35.05" hidden="false" customHeight="false" outlineLevel="0" collapsed="false">
      <c r="A4" s="17" t="s">
        <v>58</v>
      </c>
      <c r="B4" s="17" t="s">
        <v>59</v>
      </c>
      <c r="C4" s="18" t="n">
        <f aca="false">DATE(YEAR(Start!$B$6),MONTH(Start!$B$6)+0,1)</f>
        <v>46388</v>
      </c>
      <c r="D4" s="18" t="n">
        <f aca="false">DATE(YEAR(Start!$B$6),MONTH(Start!$B$6)+1,1)</f>
        <v>46419</v>
      </c>
      <c r="E4" s="18" t="n">
        <f aca="false">DATE(YEAR(Start!$B$6),MONTH(Start!$B$6)+2,1)</f>
        <v>46447</v>
      </c>
      <c r="F4" s="18" t="n">
        <f aca="false">DATE(YEAR(Start!$B$6),MONTH(Start!$B$6)+3,1)</f>
        <v>46478</v>
      </c>
      <c r="G4" s="18" t="n">
        <f aca="false">DATE(YEAR(Start!$B$6),MONTH(Start!$B$6)+4,1)</f>
        <v>46508</v>
      </c>
      <c r="H4" s="18" t="n">
        <f aca="false">DATE(YEAR(Start!$B$6),MONTH(Start!$B$6)+5,1)</f>
        <v>46539</v>
      </c>
      <c r="I4" s="18" t="n">
        <f aca="false">DATE(YEAR(Start!$B$6),MONTH(Start!$B$6)+6,1)</f>
        <v>46569</v>
      </c>
      <c r="J4" s="18" t="n">
        <f aca="false">DATE(YEAR(Start!$B$6),MONTH(Start!$B$6)+7,1)</f>
        <v>46600</v>
      </c>
      <c r="K4" s="18" t="n">
        <f aca="false">DATE(YEAR(Start!$B$6),MONTH(Start!$B$6)+8,1)</f>
        <v>46631</v>
      </c>
      <c r="L4" s="18" t="n">
        <f aca="false">DATE(YEAR(Start!$B$6),MONTH(Start!$B$6)+9,1)</f>
        <v>46661</v>
      </c>
      <c r="M4" s="18" t="n">
        <f aca="false">DATE(YEAR(Start!$B$6),MONTH(Start!$B$6)+10,1)</f>
        <v>46692</v>
      </c>
      <c r="N4" s="18" t="n">
        <f aca="false">DATE(YEAR(Start!$B$6),MONTH(Start!$B$6)+11,1)</f>
        <v>46722</v>
      </c>
      <c r="O4" s="17" t="s">
        <v>60</v>
      </c>
      <c r="P4" s="17" t="s">
        <v>61</v>
      </c>
      <c r="Q4" s="17" t="s">
        <v>62</v>
      </c>
      <c r="R4" s="17" t="s">
        <v>63</v>
      </c>
      <c r="S4" s="17" t="s">
        <v>64</v>
      </c>
      <c r="T4" s="17" t="s">
        <v>65</v>
      </c>
    </row>
    <row r="5" customFormat="false" ht="15" hidden="false" customHeight="false" outlineLevel="0" collapsed="false">
      <c r="A5" s="3" t="s">
        <v>66</v>
      </c>
    </row>
    <row r="6" customFormat="false" ht="15" hidden="false" customHeight="false" outlineLevel="0" collapsed="false">
      <c r="A6" s="5" t="s">
        <v>67</v>
      </c>
      <c r="B6" s="10" t="n">
        <v>850</v>
      </c>
      <c r="C6" s="9" t="n">
        <v>2</v>
      </c>
      <c r="D6" s="9" t="n">
        <v>2</v>
      </c>
      <c r="E6" s="9" t="n">
        <v>3</v>
      </c>
      <c r="F6" s="9" t="n">
        <v>3</v>
      </c>
      <c r="G6" s="9" t="n">
        <v>4</v>
      </c>
      <c r="H6" s="9" t="n">
        <v>4</v>
      </c>
      <c r="I6" s="9" t="n">
        <v>5</v>
      </c>
      <c r="J6" s="9" t="n">
        <v>5</v>
      </c>
      <c r="K6" s="9" t="n">
        <v>6</v>
      </c>
      <c r="L6" s="9" t="n">
        <v>6</v>
      </c>
      <c r="M6" s="9" t="n">
        <v>6</v>
      </c>
      <c r="N6" s="9" t="n">
        <v>6</v>
      </c>
      <c r="O6" s="11" t="n">
        <f aca="false">SUM(C6:N6)</f>
        <v>52</v>
      </c>
      <c r="P6" s="9" t="n">
        <v>84</v>
      </c>
      <c r="Q6" s="9" t="n">
        <v>96</v>
      </c>
      <c r="R6" s="8" t="n">
        <v>0.2</v>
      </c>
      <c r="S6" s="8" t="n">
        <v>0</v>
      </c>
      <c r="T6" s="8" t="n">
        <v>0.19</v>
      </c>
    </row>
    <row r="7" customFormat="false" ht="15" hidden="false" customHeight="false" outlineLevel="0" collapsed="false">
      <c r="A7" s="5" t="s">
        <v>68</v>
      </c>
      <c r="B7" s="10" t="n">
        <v>0</v>
      </c>
      <c r="C7" s="9" t="n">
        <v>0</v>
      </c>
      <c r="D7" s="9" t="n">
        <v>0</v>
      </c>
      <c r="E7" s="9" t="n">
        <v>0</v>
      </c>
      <c r="F7" s="9" t="n">
        <v>0</v>
      </c>
      <c r="G7" s="9" t="n">
        <v>0</v>
      </c>
      <c r="H7" s="9" t="n">
        <v>0</v>
      </c>
      <c r="I7" s="9" t="n">
        <v>0</v>
      </c>
      <c r="J7" s="9" t="n">
        <v>0</v>
      </c>
      <c r="K7" s="9" t="n">
        <v>0</v>
      </c>
      <c r="L7" s="9" t="n">
        <v>0</v>
      </c>
      <c r="M7" s="9" t="n">
        <v>0</v>
      </c>
      <c r="N7" s="9" t="n">
        <v>0</v>
      </c>
      <c r="O7" s="11" t="n">
        <f aca="false">SUM(C7:N7)</f>
        <v>0</v>
      </c>
      <c r="P7" s="9" t="n">
        <v>0</v>
      </c>
      <c r="Q7" s="9" t="n">
        <v>0</v>
      </c>
      <c r="R7" s="8" t="n">
        <v>0</v>
      </c>
      <c r="S7" s="8" t="n">
        <v>0</v>
      </c>
      <c r="T7" s="8" t="n">
        <v>0.19</v>
      </c>
    </row>
    <row r="8" customFormat="false" ht="15" hidden="false" customHeight="false" outlineLevel="0" collapsed="false">
      <c r="A8" s="5" t="s">
        <v>69</v>
      </c>
      <c r="B8" s="10" t="n">
        <v>0</v>
      </c>
      <c r="C8" s="9" t="n">
        <v>0</v>
      </c>
      <c r="D8" s="9" t="n">
        <v>0</v>
      </c>
      <c r="E8" s="9" t="n">
        <v>0</v>
      </c>
      <c r="F8" s="9" t="n">
        <v>0</v>
      </c>
      <c r="G8" s="9" t="n">
        <v>0</v>
      </c>
      <c r="H8" s="9" t="n">
        <v>0</v>
      </c>
      <c r="I8" s="9" t="n">
        <v>0</v>
      </c>
      <c r="J8" s="9" t="n">
        <v>0</v>
      </c>
      <c r="K8" s="9" t="n">
        <v>0</v>
      </c>
      <c r="L8" s="9" t="n">
        <v>0</v>
      </c>
      <c r="M8" s="9" t="n">
        <v>0</v>
      </c>
      <c r="N8" s="9" t="n">
        <v>0</v>
      </c>
      <c r="O8" s="11" t="n">
        <f aca="false">SUM(C8:N8)</f>
        <v>0</v>
      </c>
      <c r="P8" s="9" t="n">
        <v>0</v>
      </c>
      <c r="Q8" s="9" t="n">
        <v>0</v>
      </c>
      <c r="R8" s="8" t="n">
        <v>0</v>
      </c>
      <c r="S8" s="8" t="n">
        <v>0</v>
      </c>
      <c r="T8" s="8" t="n">
        <v>0.19</v>
      </c>
    </row>
    <row r="9" customFormat="false" ht="15" hidden="false" customHeight="false" outlineLevel="0" collapsed="false">
      <c r="A9" s="5" t="s">
        <v>70</v>
      </c>
      <c r="B9" s="10" t="n">
        <v>0</v>
      </c>
      <c r="C9" s="9" t="n">
        <v>0</v>
      </c>
      <c r="D9" s="9" t="n">
        <v>0</v>
      </c>
      <c r="E9" s="9" t="n">
        <v>0</v>
      </c>
      <c r="F9" s="9" t="n">
        <v>0</v>
      </c>
      <c r="G9" s="9" t="n">
        <v>0</v>
      </c>
      <c r="H9" s="9" t="n">
        <v>0</v>
      </c>
      <c r="I9" s="9" t="n">
        <v>0</v>
      </c>
      <c r="J9" s="9" t="n">
        <v>0</v>
      </c>
      <c r="K9" s="9" t="n">
        <v>0</v>
      </c>
      <c r="L9" s="9" t="n">
        <v>0</v>
      </c>
      <c r="M9" s="9" t="n">
        <v>0</v>
      </c>
      <c r="N9" s="9" t="n">
        <v>0</v>
      </c>
      <c r="O9" s="11" t="n">
        <f aca="false">SUM(C9:N9)</f>
        <v>0</v>
      </c>
      <c r="P9" s="9" t="n">
        <v>0</v>
      </c>
      <c r="Q9" s="9" t="n">
        <v>0</v>
      </c>
      <c r="R9" s="8" t="n">
        <v>0</v>
      </c>
      <c r="S9" s="8" t="n">
        <v>0</v>
      </c>
      <c r="T9" s="8" t="n">
        <v>0.19</v>
      </c>
    </row>
    <row r="10" customFormat="false" ht="15" hidden="false" customHeight="false" outlineLevel="0" collapsed="false">
      <c r="A10" s="5" t="s">
        <v>71</v>
      </c>
      <c r="B10" s="10" t="n">
        <v>0</v>
      </c>
      <c r="C10" s="9" t="n">
        <v>0</v>
      </c>
      <c r="D10" s="9" t="n">
        <v>0</v>
      </c>
      <c r="E10" s="9" t="n">
        <v>0</v>
      </c>
      <c r="F10" s="9" t="n">
        <v>0</v>
      </c>
      <c r="G10" s="9" t="n">
        <v>0</v>
      </c>
      <c r="H10" s="9" t="n">
        <v>0</v>
      </c>
      <c r="I10" s="9" t="n">
        <v>0</v>
      </c>
      <c r="J10" s="9" t="n">
        <v>0</v>
      </c>
      <c r="K10" s="9" t="n">
        <v>0</v>
      </c>
      <c r="L10" s="9" t="n">
        <v>0</v>
      </c>
      <c r="M10" s="9" t="n">
        <v>0</v>
      </c>
      <c r="N10" s="9" t="n">
        <v>0</v>
      </c>
      <c r="O10" s="11" t="n">
        <f aca="false">SUM(C10:N10)</f>
        <v>0</v>
      </c>
      <c r="P10" s="9" t="n">
        <v>0</v>
      </c>
      <c r="Q10" s="9" t="n">
        <v>0</v>
      </c>
      <c r="R10" s="8" t="n">
        <v>0</v>
      </c>
      <c r="S10" s="8" t="n">
        <v>0</v>
      </c>
      <c r="T10" s="8" t="n">
        <v>0.19</v>
      </c>
    </row>
    <row r="12" customFormat="false" ht="15" hidden="false" customHeight="false" outlineLevel="0" collapsed="false">
      <c r="A12" s="3" t="s">
        <v>72</v>
      </c>
    </row>
    <row r="13" customFormat="false" ht="15" hidden="false" customHeight="false" outlineLevel="0" collapsed="false">
      <c r="A13" s="4" t="str">
        <f aca="false">A6</f>
        <v>Gestaltungsprojekt (Logo, Website, Werbemittel)</v>
      </c>
      <c r="C13" s="19" t="n">
        <f aca="false">IF(1&gt;Start!$B$15,$B6*INDEX($C6:$N6,1,1-Start!$B$15),0)*(1-Start!$B$14)</f>
        <v>1700</v>
      </c>
      <c r="D13" s="19" t="n">
        <f aca="false">IF(2&gt;Start!$B$15,$B6*INDEX($C6:$N6,1,2-Start!$B$15),0)*(1-Start!$B$14)</f>
        <v>1700</v>
      </c>
      <c r="E13" s="19" t="n">
        <f aca="false">IF(3&gt;Start!$B$15,$B6*INDEX($C6:$N6,1,3-Start!$B$15),0)*(1-Start!$B$14)</f>
        <v>2550</v>
      </c>
      <c r="F13" s="19" t="n">
        <f aca="false">IF(4&gt;Start!$B$15,$B6*INDEX($C6:$N6,1,4-Start!$B$15),0)*(1-Start!$B$14)</f>
        <v>2550</v>
      </c>
      <c r="G13" s="19" t="n">
        <f aca="false">IF(5&gt;Start!$B$15,$B6*INDEX($C6:$N6,1,5-Start!$B$15),0)*(1-Start!$B$14)</f>
        <v>3400</v>
      </c>
      <c r="H13" s="19" t="n">
        <f aca="false">IF(6&gt;Start!$B$15,$B6*INDEX($C6:$N6,1,6-Start!$B$15),0)*(1-Start!$B$14)</f>
        <v>3400</v>
      </c>
      <c r="I13" s="19" t="n">
        <f aca="false">IF(7&gt;Start!$B$15,$B6*INDEX($C6:$N6,1,7-Start!$B$15),0)*(1-Start!$B$14)</f>
        <v>4250</v>
      </c>
      <c r="J13" s="19" t="n">
        <f aca="false">IF(8&gt;Start!$B$15,$B6*INDEX($C6:$N6,1,8-Start!$B$15),0)*(1-Start!$B$14)</f>
        <v>4250</v>
      </c>
      <c r="K13" s="19" t="n">
        <f aca="false">IF(9&gt;Start!$B$15,$B6*INDEX($C6:$N6,1,9-Start!$B$15),0)*(1-Start!$B$14)</f>
        <v>5100</v>
      </c>
      <c r="L13" s="19" t="n">
        <f aca="false">IF(10&gt;Start!$B$15,$B6*INDEX($C6:$N6,1,10-Start!$B$15),0)*(1-Start!$B$14)</f>
        <v>5100</v>
      </c>
      <c r="M13" s="19" t="n">
        <f aca="false">IF(11&gt;Start!$B$15,$B6*INDEX($C6:$N6,1,11-Start!$B$15),0)*(1-Start!$B$14)</f>
        <v>5100</v>
      </c>
      <c r="N13" s="19" t="n">
        <f aca="false">IF(12&gt;Start!$B$15,$B6*INDEX($C6:$N6,1,12-Start!$B$15),0)*(1-Start!$B$14)</f>
        <v>5100</v>
      </c>
      <c r="O13" s="19" t="n">
        <f aca="false">SUM(C13:N13)</f>
        <v>44200</v>
      </c>
      <c r="P13" s="19" t="n">
        <f aca="false">$B6*(1+$S6)*(1-Start!$B$14)*(SUMPRODUCT(($C$3:$N$3&gt;12-Start!$B$15)*$C6:$N6)+$P6*(12-Start!$B$15)/12)</f>
        <v>71400</v>
      </c>
      <c r="Q13" s="19" t="n">
        <f aca="false">$B6*(1+$S6)^2*(1-Start!$B$14)*($P6*Start!$B$15/12+$Q6*(12-Start!$B$15)/12)</f>
        <v>81600</v>
      </c>
    </row>
    <row r="14" customFormat="false" ht="15" hidden="false" customHeight="false" outlineLevel="0" collapsed="false">
      <c r="A14" s="4" t="str">
        <f aca="false">A7</f>
        <v>Leistung 2</v>
      </c>
      <c r="C14" s="19" t="n">
        <f aca="false">IF(1&gt;Start!$B$15,$B7*INDEX($C7:$N7,1,1-Start!$B$15),0)*(1-Start!$B$14)</f>
        <v>0</v>
      </c>
      <c r="D14" s="19" t="n">
        <f aca="false">IF(2&gt;Start!$B$15,$B7*INDEX($C7:$N7,1,2-Start!$B$15),0)*(1-Start!$B$14)</f>
        <v>0</v>
      </c>
      <c r="E14" s="19" t="n">
        <f aca="false">IF(3&gt;Start!$B$15,$B7*INDEX($C7:$N7,1,3-Start!$B$15),0)*(1-Start!$B$14)</f>
        <v>0</v>
      </c>
      <c r="F14" s="19" t="n">
        <f aca="false">IF(4&gt;Start!$B$15,$B7*INDEX($C7:$N7,1,4-Start!$B$15),0)*(1-Start!$B$14)</f>
        <v>0</v>
      </c>
      <c r="G14" s="19" t="n">
        <f aca="false">IF(5&gt;Start!$B$15,$B7*INDEX($C7:$N7,1,5-Start!$B$15),0)*(1-Start!$B$14)</f>
        <v>0</v>
      </c>
      <c r="H14" s="19" t="n">
        <f aca="false">IF(6&gt;Start!$B$15,$B7*INDEX($C7:$N7,1,6-Start!$B$15),0)*(1-Start!$B$14)</f>
        <v>0</v>
      </c>
      <c r="I14" s="19" t="n">
        <f aca="false">IF(7&gt;Start!$B$15,$B7*INDEX($C7:$N7,1,7-Start!$B$15),0)*(1-Start!$B$14)</f>
        <v>0</v>
      </c>
      <c r="J14" s="19" t="n">
        <f aca="false">IF(8&gt;Start!$B$15,$B7*INDEX($C7:$N7,1,8-Start!$B$15),0)*(1-Start!$B$14)</f>
        <v>0</v>
      </c>
      <c r="K14" s="19" t="n">
        <f aca="false">IF(9&gt;Start!$B$15,$B7*INDEX($C7:$N7,1,9-Start!$B$15),0)*(1-Start!$B$14)</f>
        <v>0</v>
      </c>
      <c r="L14" s="19" t="n">
        <f aca="false">IF(10&gt;Start!$B$15,$B7*INDEX($C7:$N7,1,10-Start!$B$15),0)*(1-Start!$B$14)</f>
        <v>0</v>
      </c>
      <c r="M14" s="19" t="n">
        <f aca="false">IF(11&gt;Start!$B$15,$B7*INDEX($C7:$N7,1,11-Start!$B$15),0)*(1-Start!$B$14)</f>
        <v>0</v>
      </c>
      <c r="N14" s="19" t="n">
        <f aca="false">IF(12&gt;Start!$B$15,$B7*INDEX($C7:$N7,1,12-Start!$B$15),0)*(1-Start!$B$14)</f>
        <v>0</v>
      </c>
      <c r="O14" s="19" t="n">
        <f aca="false">SUM(C14:N14)</f>
        <v>0</v>
      </c>
      <c r="P14" s="19" t="n">
        <f aca="false">$B7*(1+$S7)*(1-Start!$B$14)*(SUMPRODUCT(($C$3:$N$3&gt;12-Start!$B$15)*$C7:$N7)+$P7*(12-Start!$B$15)/12)</f>
        <v>0</v>
      </c>
      <c r="Q14" s="19" t="n">
        <f aca="false">$B7*(1+$S7)^2*(1-Start!$B$14)*($P7*Start!$B$15/12+$Q7*(12-Start!$B$15)/12)</f>
        <v>0</v>
      </c>
    </row>
    <row r="15" customFormat="false" ht="15" hidden="false" customHeight="false" outlineLevel="0" collapsed="false">
      <c r="A15" s="4" t="str">
        <f aca="false">A8</f>
        <v>Leistung 3</v>
      </c>
      <c r="C15" s="19" t="n">
        <f aca="false">IF(1&gt;Start!$B$15,$B8*INDEX($C8:$N8,1,1-Start!$B$15),0)*(1-Start!$B$14)</f>
        <v>0</v>
      </c>
      <c r="D15" s="19" t="n">
        <f aca="false">IF(2&gt;Start!$B$15,$B8*INDEX($C8:$N8,1,2-Start!$B$15),0)*(1-Start!$B$14)</f>
        <v>0</v>
      </c>
      <c r="E15" s="19" t="n">
        <f aca="false">IF(3&gt;Start!$B$15,$B8*INDEX($C8:$N8,1,3-Start!$B$15),0)*(1-Start!$B$14)</f>
        <v>0</v>
      </c>
      <c r="F15" s="19" t="n">
        <f aca="false">IF(4&gt;Start!$B$15,$B8*INDEX($C8:$N8,1,4-Start!$B$15),0)*(1-Start!$B$14)</f>
        <v>0</v>
      </c>
      <c r="G15" s="19" t="n">
        <f aca="false">IF(5&gt;Start!$B$15,$B8*INDEX($C8:$N8,1,5-Start!$B$15),0)*(1-Start!$B$14)</f>
        <v>0</v>
      </c>
      <c r="H15" s="19" t="n">
        <f aca="false">IF(6&gt;Start!$B$15,$B8*INDEX($C8:$N8,1,6-Start!$B$15),0)*(1-Start!$B$14)</f>
        <v>0</v>
      </c>
      <c r="I15" s="19" t="n">
        <f aca="false">IF(7&gt;Start!$B$15,$B8*INDEX($C8:$N8,1,7-Start!$B$15),0)*(1-Start!$B$14)</f>
        <v>0</v>
      </c>
      <c r="J15" s="19" t="n">
        <f aca="false">IF(8&gt;Start!$B$15,$B8*INDEX($C8:$N8,1,8-Start!$B$15),0)*(1-Start!$B$14)</f>
        <v>0</v>
      </c>
      <c r="K15" s="19" t="n">
        <f aca="false">IF(9&gt;Start!$B$15,$B8*INDEX($C8:$N8,1,9-Start!$B$15),0)*(1-Start!$B$14)</f>
        <v>0</v>
      </c>
      <c r="L15" s="19" t="n">
        <f aca="false">IF(10&gt;Start!$B$15,$B8*INDEX($C8:$N8,1,10-Start!$B$15),0)*(1-Start!$B$14)</f>
        <v>0</v>
      </c>
      <c r="M15" s="19" t="n">
        <f aca="false">IF(11&gt;Start!$B$15,$B8*INDEX($C8:$N8,1,11-Start!$B$15),0)*(1-Start!$B$14)</f>
        <v>0</v>
      </c>
      <c r="N15" s="19" t="n">
        <f aca="false">IF(12&gt;Start!$B$15,$B8*INDEX($C8:$N8,1,12-Start!$B$15),0)*(1-Start!$B$14)</f>
        <v>0</v>
      </c>
      <c r="O15" s="19" t="n">
        <f aca="false">SUM(C15:N15)</f>
        <v>0</v>
      </c>
      <c r="P15" s="19" t="n">
        <f aca="false">$B8*(1+$S8)*(1-Start!$B$14)*(SUMPRODUCT(($C$3:$N$3&gt;12-Start!$B$15)*$C8:$N8)+$P8*(12-Start!$B$15)/12)</f>
        <v>0</v>
      </c>
      <c r="Q15" s="19" t="n">
        <f aca="false">$B8*(1+$S8)^2*(1-Start!$B$14)*($P8*Start!$B$15/12+$Q8*(12-Start!$B$15)/12)</f>
        <v>0</v>
      </c>
    </row>
    <row r="16" customFormat="false" ht="15" hidden="false" customHeight="false" outlineLevel="0" collapsed="false">
      <c r="A16" s="4" t="str">
        <f aca="false">A9</f>
        <v>Leistung 4</v>
      </c>
      <c r="C16" s="19" t="n">
        <f aca="false">IF(1&gt;Start!$B$15,$B9*INDEX($C9:$N9,1,1-Start!$B$15),0)*(1-Start!$B$14)</f>
        <v>0</v>
      </c>
      <c r="D16" s="19" t="n">
        <f aca="false">IF(2&gt;Start!$B$15,$B9*INDEX($C9:$N9,1,2-Start!$B$15),0)*(1-Start!$B$14)</f>
        <v>0</v>
      </c>
      <c r="E16" s="19" t="n">
        <f aca="false">IF(3&gt;Start!$B$15,$B9*INDEX($C9:$N9,1,3-Start!$B$15),0)*(1-Start!$B$14)</f>
        <v>0</v>
      </c>
      <c r="F16" s="19" t="n">
        <f aca="false">IF(4&gt;Start!$B$15,$B9*INDEX($C9:$N9,1,4-Start!$B$15),0)*(1-Start!$B$14)</f>
        <v>0</v>
      </c>
      <c r="G16" s="19" t="n">
        <f aca="false">IF(5&gt;Start!$B$15,$B9*INDEX($C9:$N9,1,5-Start!$B$15),0)*(1-Start!$B$14)</f>
        <v>0</v>
      </c>
      <c r="H16" s="19" t="n">
        <f aca="false">IF(6&gt;Start!$B$15,$B9*INDEX($C9:$N9,1,6-Start!$B$15),0)*(1-Start!$B$14)</f>
        <v>0</v>
      </c>
      <c r="I16" s="19" t="n">
        <f aca="false">IF(7&gt;Start!$B$15,$B9*INDEX($C9:$N9,1,7-Start!$B$15),0)*(1-Start!$B$14)</f>
        <v>0</v>
      </c>
      <c r="J16" s="19" t="n">
        <f aca="false">IF(8&gt;Start!$B$15,$B9*INDEX($C9:$N9,1,8-Start!$B$15),0)*(1-Start!$B$14)</f>
        <v>0</v>
      </c>
      <c r="K16" s="19" t="n">
        <f aca="false">IF(9&gt;Start!$B$15,$B9*INDEX($C9:$N9,1,9-Start!$B$15),0)*(1-Start!$B$14)</f>
        <v>0</v>
      </c>
      <c r="L16" s="19" t="n">
        <f aca="false">IF(10&gt;Start!$B$15,$B9*INDEX($C9:$N9,1,10-Start!$B$15),0)*(1-Start!$B$14)</f>
        <v>0</v>
      </c>
      <c r="M16" s="19" t="n">
        <f aca="false">IF(11&gt;Start!$B$15,$B9*INDEX($C9:$N9,1,11-Start!$B$15),0)*(1-Start!$B$14)</f>
        <v>0</v>
      </c>
      <c r="N16" s="19" t="n">
        <f aca="false">IF(12&gt;Start!$B$15,$B9*INDEX($C9:$N9,1,12-Start!$B$15),0)*(1-Start!$B$14)</f>
        <v>0</v>
      </c>
      <c r="O16" s="19" t="n">
        <f aca="false">SUM(C16:N16)</f>
        <v>0</v>
      </c>
      <c r="P16" s="19" t="n">
        <f aca="false">$B9*(1+$S9)*(1-Start!$B$14)*(SUMPRODUCT(($C$3:$N$3&gt;12-Start!$B$15)*$C9:$N9)+$P9*(12-Start!$B$15)/12)</f>
        <v>0</v>
      </c>
      <c r="Q16" s="19" t="n">
        <f aca="false">$B9*(1+$S9)^2*(1-Start!$B$14)*($P9*Start!$B$15/12+$Q9*(12-Start!$B$15)/12)</f>
        <v>0</v>
      </c>
    </row>
    <row r="17" customFormat="false" ht="15" hidden="false" customHeight="false" outlineLevel="0" collapsed="false">
      <c r="A17" s="4" t="str">
        <f aca="false">A10</f>
        <v>Leistung 5</v>
      </c>
      <c r="C17" s="19" t="n">
        <f aca="false">IF(1&gt;Start!$B$15,$B10*INDEX($C10:$N10,1,1-Start!$B$15),0)*(1-Start!$B$14)</f>
        <v>0</v>
      </c>
      <c r="D17" s="19" t="n">
        <f aca="false">IF(2&gt;Start!$B$15,$B10*INDEX($C10:$N10,1,2-Start!$B$15),0)*(1-Start!$B$14)</f>
        <v>0</v>
      </c>
      <c r="E17" s="19" t="n">
        <f aca="false">IF(3&gt;Start!$B$15,$B10*INDEX($C10:$N10,1,3-Start!$B$15),0)*(1-Start!$B$14)</f>
        <v>0</v>
      </c>
      <c r="F17" s="19" t="n">
        <f aca="false">IF(4&gt;Start!$B$15,$B10*INDEX($C10:$N10,1,4-Start!$B$15),0)*(1-Start!$B$14)</f>
        <v>0</v>
      </c>
      <c r="G17" s="19" t="n">
        <f aca="false">IF(5&gt;Start!$B$15,$B10*INDEX($C10:$N10,1,5-Start!$B$15),0)*(1-Start!$B$14)</f>
        <v>0</v>
      </c>
      <c r="H17" s="19" t="n">
        <f aca="false">IF(6&gt;Start!$B$15,$B10*INDEX($C10:$N10,1,6-Start!$B$15),0)*(1-Start!$B$14)</f>
        <v>0</v>
      </c>
      <c r="I17" s="19" t="n">
        <f aca="false">IF(7&gt;Start!$B$15,$B10*INDEX($C10:$N10,1,7-Start!$B$15),0)*(1-Start!$B$14)</f>
        <v>0</v>
      </c>
      <c r="J17" s="19" t="n">
        <f aca="false">IF(8&gt;Start!$B$15,$B10*INDEX($C10:$N10,1,8-Start!$B$15),0)*(1-Start!$B$14)</f>
        <v>0</v>
      </c>
      <c r="K17" s="19" t="n">
        <f aca="false">IF(9&gt;Start!$B$15,$B10*INDEX($C10:$N10,1,9-Start!$B$15),0)*(1-Start!$B$14)</f>
        <v>0</v>
      </c>
      <c r="L17" s="19" t="n">
        <f aca="false">IF(10&gt;Start!$B$15,$B10*INDEX($C10:$N10,1,10-Start!$B$15),0)*(1-Start!$B$14)</f>
        <v>0</v>
      </c>
      <c r="M17" s="19" t="n">
        <f aca="false">IF(11&gt;Start!$B$15,$B10*INDEX($C10:$N10,1,11-Start!$B$15),0)*(1-Start!$B$14)</f>
        <v>0</v>
      </c>
      <c r="N17" s="19" t="n">
        <f aca="false">IF(12&gt;Start!$B$15,$B10*INDEX($C10:$N10,1,12-Start!$B$15),0)*(1-Start!$B$14)</f>
        <v>0</v>
      </c>
      <c r="O17" s="19" t="n">
        <f aca="false">SUM(C17:N17)</f>
        <v>0</v>
      </c>
      <c r="P17" s="19" t="n">
        <f aca="false">$B10*(1+$S10)*(1-Start!$B$14)*(SUMPRODUCT(($C$3:$N$3&gt;12-Start!$B$15)*$C10:$N10)+$P10*(12-Start!$B$15)/12)</f>
        <v>0</v>
      </c>
      <c r="Q17" s="19" t="n">
        <f aca="false">$B10*(1+$S10)^2*(1-Start!$B$14)*($P10*Start!$B$15/12+$Q10*(12-Start!$B$15)/12)</f>
        <v>0</v>
      </c>
    </row>
    <row r="18" customFormat="false" ht="15" hidden="false" customHeight="false" outlineLevel="0" collapsed="false">
      <c r="A18" s="20" t="s">
        <v>73</v>
      </c>
      <c r="B18" s="21"/>
      <c r="C18" s="22" t="n">
        <f aca="false">SUM(C13:C17)</f>
        <v>1700</v>
      </c>
      <c r="D18" s="22" t="n">
        <f aca="false">SUM(D13:D17)</f>
        <v>1700</v>
      </c>
      <c r="E18" s="22" t="n">
        <f aca="false">SUM(E13:E17)</f>
        <v>2550</v>
      </c>
      <c r="F18" s="22" t="n">
        <f aca="false">SUM(F13:F17)</f>
        <v>2550</v>
      </c>
      <c r="G18" s="22" t="n">
        <f aca="false">SUM(G13:G17)</f>
        <v>3400</v>
      </c>
      <c r="H18" s="22" t="n">
        <f aca="false">SUM(H13:H17)</f>
        <v>3400</v>
      </c>
      <c r="I18" s="22" t="n">
        <f aca="false">SUM(I13:I17)</f>
        <v>4250</v>
      </c>
      <c r="J18" s="22" t="n">
        <f aca="false">SUM(J13:J17)</f>
        <v>4250</v>
      </c>
      <c r="K18" s="22" t="n">
        <f aca="false">SUM(K13:K17)</f>
        <v>5100</v>
      </c>
      <c r="L18" s="22" t="n">
        <f aca="false">SUM(L13:L17)</f>
        <v>5100</v>
      </c>
      <c r="M18" s="22" t="n">
        <f aca="false">SUM(M13:M17)</f>
        <v>5100</v>
      </c>
      <c r="N18" s="22" t="n">
        <f aca="false">SUM(N13:N17)</f>
        <v>5100</v>
      </c>
      <c r="O18" s="22" t="n">
        <f aca="false">SUM(O13:O17)</f>
        <v>44200</v>
      </c>
      <c r="P18" s="22" t="n">
        <f aca="false">SUM(P13:P17)</f>
        <v>71400</v>
      </c>
      <c r="Q18" s="22" t="n">
        <f aca="false">SUM(Q13:Q17)</f>
        <v>81600</v>
      </c>
    </row>
    <row r="20" customFormat="false" ht="15" hidden="false" customHeight="false" outlineLevel="0" collapsed="false">
      <c r="A20" s="3" t="s">
        <v>74</v>
      </c>
    </row>
    <row r="21" customFormat="false" ht="15" hidden="false" customHeight="false" outlineLevel="0" collapsed="false">
      <c r="A21" s="4" t="str">
        <f aca="false">A6</f>
        <v>Gestaltungsprojekt (Logo, Website, Werbemittel)</v>
      </c>
      <c r="C21" s="19" t="n">
        <f aca="false">C13*$R6</f>
        <v>340</v>
      </c>
      <c r="D21" s="19" t="n">
        <f aca="false">D13*$R6</f>
        <v>340</v>
      </c>
      <c r="E21" s="19" t="n">
        <f aca="false">E13*$R6</f>
        <v>510</v>
      </c>
      <c r="F21" s="19" t="n">
        <f aca="false">F13*$R6</f>
        <v>510</v>
      </c>
      <c r="G21" s="19" t="n">
        <f aca="false">G13*$R6</f>
        <v>680</v>
      </c>
      <c r="H21" s="19" t="n">
        <f aca="false">H13*$R6</f>
        <v>680</v>
      </c>
      <c r="I21" s="19" t="n">
        <f aca="false">I13*$R6</f>
        <v>850</v>
      </c>
      <c r="J21" s="19" t="n">
        <f aca="false">J13*$R6</f>
        <v>850</v>
      </c>
      <c r="K21" s="19" t="n">
        <f aca="false">K13*$R6</f>
        <v>1020</v>
      </c>
      <c r="L21" s="19" t="n">
        <f aca="false">L13*$R6</f>
        <v>1020</v>
      </c>
      <c r="M21" s="19" t="n">
        <f aca="false">M13*$R6</f>
        <v>1020</v>
      </c>
      <c r="N21" s="19" t="n">
        <f aca="false">N13*$R6</f>
        <v>1020</v>
      </c>
      <c r="O21" s="19" t="n">
        <f aca="false">O13*$R6</f>
        <v>8840</v>
      </c>
      <c r="P21" s="19" t="n">
        <f aca="false">P13*$R6</f>
        <v>14280</v>
      </c>
      <c r="Q21" s="19" t="n">
        <f aca="false">Q13*$R6</f>
        <v>16320</v>
      </c>
    </row>
    <row r="22" customFormat="false" ht="15" hidden="false" customHeight="false" outlineLevel="0" collapsed="false">
      <c r="A22" s="4" t="str">
        <f aca="false">A7</f>
        <v>Leistung 2</v>
      </c>
      <c r="C22" s="19" t="n">
        <f aca="false">C14*$R7</f>
        <v>0</v>
      </c>
      <c r="D22" s="19" t="n">
        <f aca="false">D14*$R7</f>
        <v>0</v>
      </c>
      <c r="E22" s="19" t="n">
        <f aca="false">E14*$R7</f>
        <v>0</v>
      </c>
      <c r="F22" s="19" t="n">
        <f aca="false">F14*$R7</f>
        <v>0</v>
      </c>
      <c r="G22" s="19" t="n">
        <f aca="false">G14*$R7</f>
        <v>0</v>
      </c>
      <c r="H22" s="19" t="n">
        <f aca="false">H14*$R7</f>
        <v>0</v>
      </c>
      <c r="I22" s="19" t="n">
        <f aca="false">I14*$R7</f>
        <v>0</v>
      </c>
      <c r="J22" s="19" t="n">
        <f aca="false">J14*$R7</f>
        <v>0</v>
      </c>
      <c r="K22" s="19" t="n">
        <f aca="false">K14*$R7</f>
        <v>0</v>
      </c>
      <c r="L22" s="19" t="n">
        <f aca="false">L14*$R7</f>
        <v>0</v>
      </c>
      <c r="M22" s="19" t="n">
        <f aca="false">M14*$R7</f>
        <v>0</v>
      </c>
      <c r="N22" s="19" t="n">
        <f aca="false">N14*$R7</f>
        <v>0</v>
      </c>
      <c r="O22" s="19" t="n">
        <f aca="false">O14*$R7</f>
        <v>0</v>
      </c>
      <c r="P22" s="19" t="n">
        <f aca="false">P14*$R7</f>
        <v>0</v>
      </c>
      <c r="Q22" s="19" t="n">
        <f aca="false">Q14*$R7</f>
        <v>0</v>
      </c>
    </row>
    <row r="23" customFormat="false" ht="15" hidden="false" customHeight="false" outlineLevel="0" collapsed="false">
      <c r="A23" s="4" t="str">
        <f aca="false">A8</f>
        <v>Leistung 3</v>
      </c>
      <c r="C23" s="19" t="n">
        <f aca="false">C15*$R8</f>
        <v>0</v>
      </c>
      <c r="D23" s="19" t="n">
        <f aca="false">D15*$R8</f>
        <v>0</v>
      </c>
      <c r="E23" s="19" t="n">
        <f aca="false">E15*$R8</f>
        <v>0</v>
      </c>
      <c r="F23" s="19" t="n">
        <f aca="false">F15*$R8</f>
        <v>0</v>
      </c>
      <c r="G23" s="19" t="n">
        <f aca="false">G15*$R8</f>
        <v>0</v>
      </c>
      <c r="H23" s="19" t="n">
        <f aca="false">H15*$R8</f>
        <v>0</v>
      </c>
      <c r="I23" s="19" t="n">
        <f aca="false">I15*$R8</f>
        <v>0</v>
      </c>
      <c r="J23" s="19" t="n">
        <f aca="false">J15*$R8</f>
        <v>0</v>
      </c>
      <c r="K23" s="19" t="n">
        <f aca="false">K15*$R8</f>
        <v>0</v>
      </c>
      <c r="L23" s="19" t="n">
        <f aca="false">L15*$R8</f>
        <v>0</v>
      </c>
      <c r="M23" s="19" t="n">
        <f aca="false">M15*$R8</f>
        <v>0</v>
      </c>
      <c r="N23" s="19" t="n">
        <f aca="false">N15*$R8</f>
        <v>0</v>
      </c>
      <c r="O23" s="19" t="n">
        <f aca="false">O15*$R8</f>
        <v>0</v>
      </c>
      <c r="P23" s="19" t="n">
        <f aca="false">P15*$R8</f>
        <v>0</v>
      </c>
      <c r="Q23" s="19" t="n">
        <f aca="false">Q15*$R8</f>
        <v>0</v>
      </c>
    </row>
    <row r="24" customFormat="false" ht="15" hidden="false" customHeight="false" outlineLevel="0" collapsed="false">
      <c r="A24" s="4" t="str">
        <f aca="false">A9</f>
        <v>Leistung 4</v>
      </c>
      <c r="C24" s="19" t="n">
        <f aca="false">C16*$R9</f>
        <v>0</v>
      </c>
      <c r="D24" s="19" t="n">
        <f aca="false">D16*$R9</f>
        <v>0</v>
      </c>
      <c r="E24" s="19" t="n">
        <f aca="false">E16*$R9</f>
        <v>0</v>
      </c>
      <c r="F24" s="19" t="n">
        <f aca="false">F16*$R9</f>
        <v>0</v>
      </c>
      <c r="G24" s="19" t="n">
        <f aca="false">G16*$R9</f>
        <v>0</v>
      </c>
      <c r="H24" s="19" t="n">
        <f aca="false">H16*$R9</f>
        <v>0</v>
      </c>
      <c r="I24" s="19" t="n">
        <f aca="false">I16*$R9</f>
        <v>0</v>
      </c>
      <c r="J24" s="19" t="n">
        <f aca="false">J16*$R9</f>
        <v>0</v>
      </c>
      <c r="K24" s="19" t="n">
        <f aca="false">K16*$R9</f>
        <v>0</v>
      </c>
      <c r="L24" s="19" t="n">
        <f aca="false">L16*$R9</f>
        <v>0</v>
      </c>
      <c r="M24" s="19" t="n">
        <f aca="false">M16*$R9</f>
        <v>0</v>
      </c>
      <c r="N24" s="19" t="n">
        <f aca="false">N16*$R9</f>
        <v>0</v>
      </c>
      <c r="O24" s="19" t="n">
        <f aca="false">O16*$R9</f>
        <v>0</v>
      </c>
      <c r="P24" s="19" t="n">
        <f aca="false">P16*$R9</f>
        <v>0</v>
      </c>
      <c r="Q24" s="19" t="n">
        <f aca="false">Q16*$R9</f>
        <v>0</v>
      </c>
    </row>
    <row r="25" customFormat="false" ht="15" hidden="false" customHeight="false" outlineLevel="0" collapsed="false">
      <c r="A25" s="4" t="str">
        <f aca="false">A10</f>
        <v>Leistung 5</v>
      </c>
      <c r="C25" s="19" t="n">
        <f aca="false">C17*$R10</f>
        <v>0</v>
      </c>
      <c r="D25" s="19" t="n">
        <f aca="false">D17*$R10</f>
        <v>0</v>
      </c>
      <c r="E25" s="19" t="n">
        <f aca="false">E17*$R10</f>
        <v>0</v>
      </c>
      <c r="F25" s="19" t="n">
        <f aca="false">F17*$R10</f>
        <v>0</v>
      </c>
      <c r="G25" s="19" t="n">
        <f aca="false">G17*$R10</f>
        <v>0</v>
      </c>
      <c r="H25" s="19" t="n">
        <f aca="false">H17*$R10</f>
        <v>0</v>
      </c>
      <c r="I25" s="19" t="n">
        <f aca="false">I17*$R10</f>
        <v>0</v>
      </c>
      <c r="J25" s="19" t="n">
        <f aca="false">J17*$R10</f>
        <v>0</v>
      </c>
      <c r="K25" s="19" t="n">
        <f aca="false">K17*$R10</f>
        <v>0</v>
      </c>
      <c r="L25" s="19" t="n">
        <f aca="false">L17*$R10</f>
        <v>0</v>
      </c>
      <c r="M25" s="19" t="n">
        <f aca="false">M17*$R10</f>
        <v>0</v>
      </c>
      <c r="N25" s="19" t="n">
        <f aca="false">N17*$R10</f>
        <v>0</v>
      </c>
      <c r="O25" s="19" t="n">
        <f aca="false">O17*$R10</f>
        <v>0</v>
      </c>
      <c r="P25" s="19" t="n">
        <f aca="false">P17*$R10</f>
        <v>0</v>
      </c>
      <c r="Q25" s="19" t="n">
        <f aca="false">Q17*$R10</f>
        <v>0</v>
      </c>
    </row>
    <row r="26" customFormat="false" ht="15" hidden="false" customHeight="false" outlineLevel="0" collapsed="false">
      <c r="A26" s="20" t="s">
        <v>75</v>
      </c>
      <c r="B26" s="21"/>
      <c r="C26" s="22" t="n">
        <f aca="false">SUM(C21:C25)</f>
        <v>340</v>
      </c>
      <c r="D26" s="22" t="n">
        <f aca="false">SUM(D21:D25)</f>
        <v>340</v>
      </c>
      <c r="E26" s="22" t="n">
        <f aca="false">SUM(E21:E25)</f>
        <v>510</v>
      </c>
      <c r="F26" s="22" t="n">
        <f aca="false">SUM(F21:F25)</f>
        <v>510</v>
      </c>
      <c r="G26" s="22" t="n">
        <f aca="false">SUM(G21:G25)</f>
        <v>680</v>
      </c>
      <c r="H26" s="22" t="n">
        <f aca="false">SUM(H21:H25)</f>
        <v>680</v>
      </c>
      <c r="I26" s="22" t="n">
        <f aca="false">SUM(I21:I25)</f>
        <v>850</v>
      </c>
      <c r="J26" s="22" t="n">
        <f aca="false">SUM(J21:J25)</f>
        <v>850</v>
      </c>
      <c r="K26" s="22" t="n">
        <f aca="false">SUM(K21:K25)</f>
        <v>1020</v>
      </c>
      <c r="L26" s="22" t="n">
        <f aca="false">SUM(L21:L25)</f>
        <v>1020</v>
      </c>
      <c r="M26" s="22" t="n">
        <f aca="false">SUM(M21:M25)</f>
        <v>1020</v>
      </c>
      <c r="N26" s="22" t="n">
        <f aca="false">SUM(N21:N25)</f>
        <v>1020</v>
      </c>
      <c r="O26" s="22" t="n">
        <f aca="false">SUM(O21:O25)</f>
        <v>8840</v>
      </c>
      <c r="P26" s="22" t="n">
        <f aca="false">SUM(P21:P25)</f>
        <v>14280</v>
      </c>
      <c r="Q26" s="22" t="n">
        <f aca="false">SUM(Q21:Q25)</f>
        <v>16320</v>
      </c>
    </row>
    <row r="28" customFormat="false" ht="15" hidden="false" customHeight="false" outlineLevel="0" collapsed="false">
      <c r="A28" s="20" t="s">
        <v>76</v>
      </c>
      <c r="B28" s="21"/>
      <c r="C28" s="22" t="n">
        <f aca="false">C18-C26</f>
        <v>1360</v>
      </c>
      <c r="D28" s="22" t="n">
        <f aca="false">D18-D26</f>
        <v>1360</v>
      </c>
      <c r="E28" s="22" t="n">
        <f aca="false">E18-E26</f>
        <v>2040</v>
      </c>
      <c r="F28" s="22" t="n">
        <f aca="false">F18-F26</f>
        <v>2040</v>
      </c>
      <c r="G28" s="22" t="n">
        <f aca="false">G18-G26</f>
        <v>2720</v>
      </c>
      <c r="H28" s="22" t="n">
        <f aca="false">H18-H26</f>
        <v>2720</v>
      </c>
      <c r="I28" s="22" t="n">
        <f aca="false">I18-I26</f>
        <v>3400</v>
      </c>
      <c r="J28" s="22" t="n">
        <f aca="false">J18-J26</f>
        <v>3400</v>
      </c>
      <c r="K28" s="22" t="n">
        <f aca="false">K18-K26</f>
        <v>4080</v>
      </c>
      <c r="L28" s="22" t="n">
        <f aca="false">L18-L26</f>
        <v>4080</v>
      </c>
      <c r="M28" s="22" t="n">
        <f aca="false">M18-M26</f>
        <v>4080</v>
      </c>
      <c r="N28" s="22" t="n">
        <f aca="false">N18-N26</f>
        <v>4080</v>
      </c>
      <c r="O28" s="22" t="n">
        <f aca="false">O18-O26</f>
        <v>35360</v>
      </c>
      <c r="P28" s="22" t="n">
        <f aca="false">P18-P26</f>
        <v>57120</v>
      </c>
      <c r="Q28" s="22" t="n">
        <f aca="false">Q18-Q26</f>
        <v>65280</v>
      </c>
    </row>
    <row r="30" customFormat="false" ht="15" hidden="false" customHeight="false" outlineLevel="0" collapsed="false">
      <c r="A30" s="3" t="s">
        <v>77</v>
      </c>
    </row>
    <row r="31" customFormat="false" ht="15" hidden="false" customHeight="false" outlineLevel="0" collapsed="false">
      <c r="A31" s="4" t="str">
        <f aca="false">A6</f>
        <v>Gestaltungsprojekt (Logo, Website, Werbemittel)</v>
      </c>
      <c r="C31" s="19" t="n">
        <f aca="false">C13*$T6*(1-Start!$B$20)</f>
        <v>323</v>
      </c>
      <c r="D31" s="19" t="n">
        <f aca="false">D13*$T6*(1-Start!$B$20)</f>
        <v>323</v>
      </c>
      <c r="E31" s="19" t="n">
        <f aca="false">E13*$T6*(1-Start!$B$20)</f>
        <v>484.5</v>
      </c>
      <c r="F31" s="19" t="n">
        <f aca="false">F13*$T6*(1-Start!$B$20)</f>
        <v>484.5</v>
      </c>
      <c r="G31" s="19" t="n">
        <f aca="false">G13*$T6*(1-Start!$B$20)</f>
        <v>646</v>
      </c>
      <c r="H31" s="19" t="n">
        <f aca="false">H13*$T6*(1-Start!$B$20)</f>
        <v>646</v>
      </c>
      <c r="I31" s="19" t="n">
        <f aca="false">I13*$T6*(1-Start!$B$20)</f>
        <v>807.5</v>
      </c>
      <c r="J31" s="19" t="n">
        <f aca="false">J13*$T6*(1-Start!$B$20)</f>
        <v>807.5</v>
      </c>
      <c r="K31" s="19" t="n">
        <f aca="false">K13*$T6*(1-Start!$B$20)</f>
        <v>969</v>
      </c>
      <c r="L31" s="19" t="n">
        <f aca="false">L13*$T6*(1-Start!$B$20)</f>
        <v>969</v>
      </c>
      <c r="M31" s="19" t="n">
        <f aca="false">M13*$T6*(1-Start!$B$20)</f>
        <v>969</v>
      </c>
      <c r="N31" s="19" t="n">
        <f aca="false">N13*$T6*(1-Start!$B$20)</f>
        <v>969</v>
      </c>
      <c r="O31" s="19" t="n">
        <f aca="false">O13*$T6*(1-Start!$B$20)</f>
        <v>8398</v>
      </c>
      <c r="P31" s="19" t="n">
        <f aca="false">P13*$T6*(1-Start!$B$20)</f>
        <v>13566</v>
      </c>
      <c r="Q31" s="19" t="n">
        <f aca="false">Q13*$T6*(1-Start!$B$20)</f>
        <v>15504</v>
      </c>
    </row>
    <row r="32" customFormat="false" ht="15" hidden="false" customHeight="false" outlineLevel="0" collapsed="false">
      <c r="A32" s="4" t="str">
        <f aca="false">A7</f>
        <v>Leistung 2</v>
      </c>
      <c r="C32" s="19" t="n">
        <f aca="false">C14*$T7*(1-Start!$B$20)</f>
        <v>0</v>
      </c>
      <c r="D32" s="19" t="n">
        <f aca="false">D14*$T7*(1-Start!$B$20)</f>
        <v>0</v>
      </c>
      <c r="E32" s="19" t="n">
        <f aca="false">E14*$T7*(1-Start!$B$20)</f>
        <v>0</v>
      </c>
      <c r="F32" s="19" t="n">
        <f aca="false">F14*$T7*(1-Start!$B$20)</f>
        <v>0</v>
      </c>
      <c r="G32" s="19" t="n">
        <f aca="false">G14*$T7*(1-Start!$B$20)</f>
        <v>0</v>
      </c>
      <c r="H32" s="19" t="n">
        <f aca="false">H14*$T7*(1-Start!$B$20)</f>
        <v>0</v>
      </c>
      <c r="I32" s="19" t="n">
        <f aca="false">I14*$T7*(1-Start!$B$20)</f>
        <v>0</v>
      </c>
      <c r="J32" s="19" t="n">
        <f aca="false">J14*$T7*(1-Start!$B$20)</f>
        <v>0</v>
      </c>
      <c r="K32" s="19" t="n">
        <f aca="false">K14*$T7*(1-Start!$B$20)</f>
        <v>0</v>
      </c>
      <c r="L32" s="19" t="n">
        <f aca="false">L14*$T7*(1-Start!$B$20)</f>
        <v>0</v>
      </c>
      <c r="M32" s="19" t="n">
        <f aca="false">M14*$T7*(1-Start!$B$20)</f>
        <v>0</v>
      </c>
      <c r="N32" s="19" t="n">
        <f aca="false">N14*$T7*(1-Start!$B$20)</f>
        <v>0</v>
      </c>
      <c r="O32" s="19" t="n">
        <f aca="false">O14*$T7*(1-Start!$B$20)</f>
        <v>0</v>
      </c>
      <c r="P32" s="19" t="n">
        <f aca="false">P14*$T7*(1-Start!$B$20)</f>
        <v>0</v>
      </c>
      <c r="Q32" s="19" t="n">
        <f aca="false">Q14*$T7*(1-Start!$B$20)</f>
        <v>0</v>
      </c>
    </row>
    <row r="33" customFormat="false" ht="15" hidden="false" customHeight="false" outlineLevel="0" collapsed="false">
      <c r="A33" s="4" t="str">
        <f aca="false">A8</f>
        <v>Leistung 3</v>
      </c>
      <c r="C33" s="19" t="n">
        <f aca="false">C15*$T8*(1-Start!$B$20)</f>
        <v>0</v>
      </c>
      <c r="D33" s="19" t="n">
        <f aca="false">D15*$T8*(1-Start!$B$20)</f>
        <v>0</v>
      </c>
      <c r="E33" s="19" t="n">
        <f aca="false">E15*$T8*(1-Start!$B$20)</f>
        <v>0</v>
      </c>
      <c r="F33" s="19" t="n">
        <f aca="false">F15*$T8*(1-Start!$B$20)</f>
        <v>0</v>
      </c>
      <c r="G33" s="19" t="n">
        <f aca="false">G15*$T8*(1-Start!$B$20)</f>
        <v>0</v>
      </c>
      <c r="H33" s="19" t="n">
        <f aca="false">H15*$T8*(1-Start!$B$20)</f>
        <v>0</v>
      </c>
      <c r="I33" s="19" t="n">
        <f aca="false">I15*$T8*(1-Start!$B$20)</f>
        <v>0</v>
      </c>
      <c r="J33" s="19" t="n">
        <f aca="false">J15*$T8*(1-Start!$B$20)</f>
        <v>0</v>
      </c>
      <c r="K33" s="19" t="n">
        <f aca="false">K15*$T8*(1-Start!$B$20)</f>
        <v>0</v>
      </c>
      <c r="L33" s="19" t="n">
        <f aca="false">L15*$T8*(1-Start!$B$20)</f>
        <v>0</v>
      </c>
      <c r="M33" s="19" t="n">
        <f aca="false">M15*$T8*(1-Start!$B$20)</f>
        <v>0</v>
      </c>
      <c r="N33" s="19" t="n">
        <f aca="false">N15*$T8*(1-Start!$B$20)</f>
        <v>0</v>
      </c>
      <c r="O33" s="19" t="n">
        <f aca="false">O15*$T8*(1-Start!$B$20)</f>
        <v>0</v>
      </c>
      <c r="P33" s="19" t="n">
        <f aca="false">P15*$T8*(1-Start!$B$20)</f>
        <v>0</v>
      </c>
      <c r="Q33" s="19" t="n">
        <f aca="false">Q15*$T8*(1-Start!$B$20)</f>
        <v>0</v>
      </c>
    </row>
    <row r="34" customFormat="false" ht="15" hidden="false" customHeight="false" outlineLevel="0" collapsed="false">
      <c r="A34" s="4" t="str">
        <f aca="false">A9</f>
        <v>Leistung 4</v>
      </c>
      <c r="C34" s="19" t="n">
        <f aca="false">C16*$T9*(1-Start!$B$20)</f>
        <v>0</v>
      </c>
      <c r="D34" s="19" t="n">
        <f aca="false">D16*$T9*(1-Start!$B$20)</f>
        <v>0</v>
      </c>
      <c r="E34" s="19" t="n">
        <f aca="false">E16*$T9*(1-Start!$B$20)</f>
        <v>0</v>
      </c>
      <c r="F34" s="19" t="n">
        <f aca="false">F16*$T9*(1-Start!$B$20)</f>
        <v>0</v>
      </c>
      <c r="G34" s="19" t="n">
        <f aca="false">G16*$T9*(1-Start!$B$20)</f>
        <v>0</v>
      </c>
      <c r="H34" s="19" t="n">
        <f aca="false">H16*$T9*(1-Start!$B$20)</f>
        <v>0</v>
      </c>
      <c r="I34" s="19" t="n">
        <f aca="false">I16*$T9*(1-Start!$B$20)</f>
        <v>0</v>
      </c>
      <c r="J34" s="19" t="n">
        <f aca="false">J16*$T9*(1-Start!$B$20)</f>
        <v>0</v>
      </c>
      <c r="K34" s="19" t="n">
        <f aca="false">K16*$T9*(1-Start!$B$20)</f>
        <v>0</v>
      </c>
      <c r="L34" s="19" t="n">
        <f aca="false">L16*$T9*(1-Start!$B$20)</f>
        <v>0</v>
      </c>
      <c r="M34" s="19" t="n">
        <f aca="false">M16*$T9*(1-Start!$B$20)</f>
        <v>0</v>
      </c>
      <c r="N34" s="19" t="n">
        <f aca="false">N16*$T9*(1-Start!$B$20)</f>
        <v>0</v>
      </c>
      <c r="O34" s="19" t="n">
        <f aca="false">O16*$T9*(1-Start!$B$20)</f>
        <v>0</v>
      </c>
      <c r="P34" s="19" t="n">
        <f aca="false">P16*$T9*(1-Start!$B$20)</f>
        <v>0</v>
      </c>
      <c r="Q34" s="19" t="n">
        <f aca="false">Q16*$T9*(1-Start!$B$20)</f>
        <v>0</v>
      </c>
    </row>
    <row r="35" customFormat="false" ht="15" hidden="false" customHeight="false" outlineLevel="0" collapsed="false">
      <c r="A35" s="4" t="str">
        <f aca="false">A10</f>
        <v>Leistung 5</v>
      </c>
      <c r="C35" s="19" t="n">
        <f aca="false">C17*$T10*(1-Start!$B$20)</f>
        <v>0</v>
      </c>
      <c r="D35" s="19" t="n">
        <f aca="false">D17*$T10*(1-Start!$B$20)</f>
        <v>0</v>
      </c>
      <c r="E35" s="19" t="n">
        <f aca="false">E17*$T10*(1-Start!$B$20)</f>
        <v>0</v>
      </c>
      <c r="F35" s="19" t="n">
        <f aca="false">F17*$T10*(1-Start!$B$20)</f>
        <v>0</v>
      </c>
      <c r="G35" s="19" t="n">
        <f aca="false">G17*$T10*(1-Start!$B$20)</f>
        <v>0</v>
      </c>
      <c r="H35" s="19" t="n">
        <f aca="false">H17*$T10*(1-Start!$B$20)</f>
        <v>0</v>
      </c>
      <c r="I35" s="19" t="n">
        <f aca="false">I17*$T10*(1-Start!$B$20)</f>
        <v>0</v>
      </c>
      <c r="J35" s="19" t="n">
        <f aca="false">J17*$T10*(1-Start!$B$20)</f>
        <v>0</v>
      </c>
      <c r="K35" s="19" t="n">
        <f aca="false">K17*$T10*(1-Start!$B$20)</f>
        <v>0</v>
      </c>
      <c r="L35" s="19" t="n">
        <f aca="false">L17*$T10*(1-Start!$B$20)</f>
        <v>0</v>
      </c>
      <c r="M35" s="19" t="n">
        <f aca="false">M17*$T10*(1-Start!$B$20)</f>
        <v>0</v>
      </c>
      <c r="N35" s="19" t="n">
        <f aca="false">N17*$T10*(1-Start!$B$20)</f>
        <v>0</v>
      </c>
      <c r="O35" s="19" t="n">
        <f aca="false">O17*$T10*(1-Start!$B$20)</f>
        <v>0</v>
      </c>
      <c r="P35" s="19" t="n">
        <f aca="false">P17*$T10*(1-Start!$B$20)</f>
        <v>0</v>
      </c>
      <c r="Q35" s="19" t="n">
        <f aca="false">Q17*$T10*(1-Start!$B$20)</f>
        <v>0</v>
      </c>
    </row>
    <row r="36" customFormat="false" ht="15" hidden="false" customHeight="false" outlineLevel="0" collapsed="false">
      <c r="A36" s="20" t="s">
        <v>78</v>
      </c>
      <c r="B36" s="21"/>
      <c r="C36" s="22" t="n">
        <f aca="false">SUM(C31:C35)</f>
        <v>323</v>
      </c>
      <c r="D36" s="22" t="n">
        <f aca="false">SUM(D31:D35)</f>
        <v>323</v>
      </c>
      <c r="E36" s="22" t="n">
        <f aca="false">SUM(E31:E35)</f>
        <v>484.5</v>
      </c>
      <c r="F36" s="22" t="n">
        <f aca="false">SUM(F31:F35)</f>
        <v>484.5</v>
      </c>
      <c r="G36" s="22" t="n">
        <f aca="false">SUM(G31:G35)</f>
        <v>646</v>
      </c>
      <c r="H36" s="22" t="n">
        <f aca="false">SUM(H31:H35)</f>
        <v>646</v>
      </c>
      <c r="I36" s="22" t="n">
        <f aca="false">SUM(I31:I35)</f>
        <v>807.5</v>
      </c>
      <c r="J36" s="22" t="n">
        <f aca="false">SUM(J31:J35)</f>
        <v>807.5</v>
      </c>
      <c r="K36" s="22" t="n">
        <f aca="false">SUM(K31:K35)</f>
        <v>969</v>
      </c>
      <c r="L36" s="22" t="n">
        <f aca="false">SUM(L31:L35)</f>
        <v>969</v>
      </c>
      <c r="M36" s="22" t="n">
        <f aca="false">SUM(M31:M35)</f>
        <v>969</v>
      </c>
      <c r="N36" s="22" t="n">
        <f aca="false">SUM(N31:N35)</f>
        <v>969</v>
      </c>
      <c r="O36" s="22" t="n">
        <f aca="false">SUM(O31:O35)</f>
        <v>8398</v>
      </c>
      <c r="P36" s="22" t="n">
        <f aca="false">SUM(P31:P35)</f>
        <v>13566</v>
      </c>
      <c r="Q36" s="22" t="n">
        <f aca="false">SUM(Q31:Q35)</f>
        <v>15504</v>
      </c>
    </row>
    <row r="38" customFormat="false" ht="30" hidden="false" customHeight="true" outlineLevel="0" collapsed="false">
      <c r="A38" s="23" t="s">
        <v>79</v>
      </c>
      <c r="B38" s="23"/>
      <c r="C38" s="23"/>
      <c r="D38" s="23"/>
      <c r="E38" s="23"/>
      <c r="F38" s="23"/>
      <c r="G38" s="23"/>
      <c r="H38" s="23"/>
      <c r="I38" s="23"/>
      <c r="J38" s="23"/>
      <c r="K38" s="23"/>
      <c r="L38" s="23"/>
      <c r="M38" s="23"/>
      <c r="N38" s="23"/>
      <c r="O38" s="23"/>
      <c r="P38" s="23"/>
      <c r="Q38" s="23"/>
      <c r="R38" s="23"/>
      <c r="S38" s="23"/>
      <c r="T38" s="23"/>
    </row>
  </sheetData>
  <sheetProtection sheet="true" formatCells="false" formatColumns="false" formatRows="false"/>
  <mergeCells count="1">
    <mergeCell ref="A38:T38"/>
  </mergeCells>
  <dataValidations count="8">
    <dataValidation allowBlank="true" error="Bitte einen Wert von 0 bis 0.3 eingeben." errorStyle="stop" operator="between" showDropDown="false" showErrorMessage="true" showInputMessage="false" sqref="T6:T10" type="decimal">
      <formula1>0</formula1>
      <formula2>0.3</formula2>
    </dataValidation>
    <dataValidation allowBlank="true" error="Bitte einen Betrag ab 0 eingeben." errorStyle="stop" operator="greaterThanOrEqual" showDropDown="false" showErrorMessage="true" showInputMessage="false" sqref="B6:B10" type="decimal">
      <formula1>0</formula1>
      <formula2>0</formula2>
    </dataValidation>
    <dataValidation allowBlank="true" error="Bitte einen Wert von 0 bis 1 eingeben." errorStyle="stop" operator="between" showDropDown="false" showErrorMessage="true" showInputMessage="false" sqref="R6:R10" type="decimal">
      <formula1>0</formula1>
      <formula2>1</formula2>
    </dataValidation>
    <dataValidation allowBlank="true" error="Bitte einen Wert von -0.5 bis 0.5 eingeben." errorStyle="stop" operator="between" showDropDown="false" showErrorMessage="true" showInputMessage="false" sqref="S6" type="decimal">
      <formula1>-0.5</formula1>
      <formula2>0.5</formula2>
    </dataValidation>
    <dataValidation allowBlank="true" error="Bitte einen Wert von -0.5 bis 0.5 eingeben." errorStyle="stop" operator="between" showDropDown="false" showErrorMessage="true" showInputMessage="false" sqref="S7" type="decimal">
      <formula1>-0.5</formula1>
      <formula2>0.5</formula2>
    </dataValidation>
    <dataValidation allowBlank="true" error="Bitte einen Wert von -0.5 bis 0.5 eingeben." errorStyle="stop" operator="between" showDropDown="false" showErrorMessage="true" showInputMessage="false" sqref="S8" type="decimal">
      <formula1>-0.5</formula1>
      <formula2>0.5</formula2>
    </dataValidation>
    <dataValidation allowBlank="true" error="Bitte einen Wert von -0.5 bis 0.5 eingeben." errorStyle="stop" operator="between" showDropDown="false" showErrorMessage="true" showInputMessage="false" sqref="S9" type="decimal">
      <formula1>-0.5</formula1>
      <formula2>0.5</formula2>
    </dataValidation>
    <dataValidation allowBlank="true" error="Bitte einen Wert von -0.5 bis 0.5 eingeben." errorStyle="stop" operator="between" showDropDown="false" showErrorMessage="true" showInputMessage="false" sqref="S10" type="decimal">
      <formula1>-0.5</formula1>
      <formula2>0.5</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Vorlage: arbeitdigital.de/gruenden/finanzplan/ · für den eigenen Plan frei nutzbar, Fußzeile darf entfernt werden&amp;R&amp;8 &amp;A · Seite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3"/>
    <col collapsed="false" customWidth="true" hidden="false" outlineLevel="0" max="14" min="3" style="0" width="10"/>
    <col collapsed="false" customWidth="true" hidden="false" outlineLevel="0" max="18" min="15" style="0" width="12"/>
    <col collapsed="false" customWidth="true" hidden="false" outlineLevel="0" max="19" min="19" style="0" width="10"/>
  </cols>
  <sheetData>
    <row r="1" customFormat="false" ht="17.35" hidden="false" customHeight="false" outlineLevel="0" collapsed="false">
      <c r="A1" s="1" t="s">
        <v>80</v>
      </c>
    </row>
    <row r="2" customFormat="false" ht="15" hidden="false" customHeight="false" outlineLevel="0" collapsed="false">
      <c r="A2" s="15" t="s">
        <v>81</v>
      </c>
    </row>
    <row r="4" customFormat="false" ht="23.85" hidden="false" customHeight="false" outlineLevel="0" collapsed="false">
      <c r="A4" s="17" t="s">
        <v>82</v>
      </c>
      <c r="B4" s="17" t="s">
        <v>83</v>
      </c>
      <c r="C4" s="18" t="n">
        <f aca="false">DATE(YEAR(Start!$B$6),MONTH(Start!$B$6)+0,1)</f>
        <v>46388</v>
      </c>
      <c r="D4" s="18" t="n">
        <f aca="false">DATE(YEAR(Start!$B$6),MONTH(Start!$B$6)+1,1)</f>
        <v>46419</v>
      </c>
      <c r="E4" s="18" t="n">
        <f aca="false">DATE(YEAR(Start!$B$6),MONTH(Start!$B$6)+2,1)</f>
        <v>46447</v>
      </c>
      <c r="F4" s="18" t="n">
        <f aca="false">DATE(YEAR(Start!$B$6),MONTH(Start!$B$6)+3,1)</f>
        <v>46478</v>
      </c>
      <c r="G4" s="18" t="n">
        <f aca="false">DATE(YEAR(Start!$B$6),MONTH(Start!$B$6)+4,1)</f>
        <v>46508</v>
      </c>
      <c r="H4" s="18" t="n">
        <f aca="false">DATE(YEAR(Start!$B$6),MONTH(Start!$B$6)+5,1)</f>
        <v>46539</v>
      </c>
      <c r="I4" s="18" t="n">
        <f aca="false">DATE(YEAR(Start!$B$6),MONTH(Start!$B$6)+6,1)</f>
        <v>46569</v>
      </c>
      <c r="J4" s="18" t="n">
        <f aca="false">DATE(YEAR(Start!$B$6),MONTH(Start!$B$6)+7,1)</f>
        <v>46600</v>
      </c>
      <c r="K4" s="18" t="n">
        <f aca="false">DATE(YEAR(Start!$B$6),MONTH(Start!$B$6)+8,1)</f>
        <v>46631</v>
      </c>
      <c r="L4" s="18" t="n">
        <f aca="false">DATE(YEAR(Start!$B$6),MONTH(Start!$B$6)+9,1)</f>
        <v>46661</v>
      </c>
      <c r="M4" s="18" t="n">
        <f aca="false">DATE(YEAR(Start!$B$6),MONTH(Start!$B$6)+10,1)</f>
        <v>46692</v>
      </c>
      <c r="N4" s="18" t="n">
        <f aca="false">DATE(YEAR(Start!$B$6),MONTH(Start!$B$6)+11,1)</f>
        <v>46722</v>
      </c>
      <c r="O4" s="17" t="s">
        <v>60</v>
      </c>
      <c r="P4" s="17" t="s">
        <v>61</v>
      </c>
      <c r="Q4" s="17" t="s">
        <v>62</v>
      </c>
    </row>
    <row r="5" customFormat="false" ht="15" hidden="false" customHeight="false" outlineLevel="0" collapsed="false">
      <c r="A5" s="5" t="s">
        <v>84</v>
      </c>
      <c r="B5" s="10" t="n">
        <v>450</v>
      </c>
      <c r="C5" s="24" t="n">
        <f aca="false">$B5</f>
        <v>450</v>
      </c>
      <c r="D5" s="24" t="n">
        <f aca="false">$B5</f>
        <v>450</v>
      </c>
      <c r="E5" s="24" t="n">
        <f aca="false">$B5</f>
        <v>450</v>
      </c>
      <c r="F5" s="24" t="n">
        <f aca="false">$B5</f>
        <v>450</v>
      </c>
      <c r="G5" s="24" t="n">
        <f aca="false">$B5</f>
        <v>450</v>
      </c>
      <c r="H5" s="24" t="n">
        <f aca="false">$B5</f>
        <v>450</v>
      </c>
      <c r="I5" s="24" t="n">
        <f aca="false">$B5</f>
        <v>450</v>
      </c>
      <c r="J5" s="24" t="n">
        <f aca="false">$B5</f>
        <v>450</v>
      </c>
      <c r="K5" s="24" t="n">
        <f aca="false">$B5</f>
        <v>450</v>
      </c>
      <c r="L5" s="24" t="n">
        <f aca="false">$B5</f>
        <v>450</v>
      </c>
      <c r="M5" s="24" t="n">
        <f aca="false">$B5</f>
        <v>450</v>
      </c>
      <c r="N5" s="24" t="n">
        <f aca="false">$B5</f>
        <v>450</v>
      </c>
      <c r="O5" s="19" t="n">
        <f aca="false">SUM(C5:N5)</f>
        <v>5400</v>
      </c>
      <c r="P5" s="19" t="n">
        <f aca="false">$B5*12*(1+Start!$B$13)</f>
        <v>5562</v>
      </c>
      <c r="Q5" s="19" t="n">
        <f aca="false">$B5*12*(1+Start!$B$13)^2</f>
        <v>5728.86</v>
      </c>
    </row>
    <row r="6" customFormat="false" ht="15" hidden="false" customHeight="false" outlineLevel="0" collapsed="false">
      <c r="A6" s="5" t="s">
        <v>85</v>
      </c>
      <c r="B6" s="10" t="n">
        <v>150</v>
      </c>
      <c r="C6" s="24" t="n">
        <f aca="false">$B6</f>
        <v>150</v>
      </c>
      <c r="D6" s="24" t="n">
        <f aca="false">$B6</f>
        <v>150</v>
      </c>
      <c r="E6" s="24" t="n">
        <f aca="false">$B6</f>
        <v>150</v>
      </c>
      <c r="F6" s="24" t="n">
        <f aca="false">$B6</f>
        <v>150</v>
      </c>
      <c r="G6" s="24" t="n">
        <f aca="false">$B6</f>
        <v>150</v>
      </c>
      <c r="H6" s="24" t="n">
        <f aca="false">$B6</f>
        <v>150</v>
      </c>
      <c r="I6" s="24" t="n">
        <f aca="false">$B6</f>
        <v>150</v>
      </c>
      <c r="J6" s="24" t="n">
        <f aca="false">$B6</f>
        <v>150</v>
      </c>
      <c r="K6" s="24" t="n">
        <f aca="false">$B6</f>
        <v>150</v>
      </c>
      <c r="L6" s="24" t="n">
        <f aca="false">$B6</f>
        <v>150</v>
      </c>
      <c r="M6" s="24" t="n">
        <f aca="false">$B6</f>
        <v>150</v>
      </c>
      <c r="N6" s="24" t="n">
        <f aca="false">$B6</f>
        <v>150</v>
      </c>
      <c r="O6" s="19" t="n">
        <f aca="false">SUM(C6:N6)</f>
        <v>1800</v>
      </c>
      <c r="P6" s="19" t="n">
        <f aca="false">$B6*12*(1+Start!$B$13)</f>
        <v>1854</v>
      </c>
      <c r="Q6" s="19" t="n">
        <f aca="false">$B6*12*(1+Start!$B$13)^2</f>
        <v>1909.62</v>
      </c>
    </row>
    <row r="7" customFormat="false" ht="15" hidden="false" customHeight="false" outlineLevel="0" collapsed="false">
      <c r="A7" s="5" t="s">
        <v>86</v>
      </c>
      <c r="B7" s="10" t="n">
        <v>80</v>
      </c>
      <c r="C7" s="24" t="n">
        <f aca="false">$B7</f>
        <v>80</v>
      </c>
      <c r="D7" s="24" t="n">
        <f aca="false">$B7</f>
        <v>80</v>
      </c>
      <c r="E7" s="24" t="n">
        <f aca="false">$B7</f>
        <v>80</v>
      </c>
      <c r="F7" s="24" t="n">
        <f aca="false">$B7</f>
        <v>80</v>
      </c>
      <c r="G7" s="24" t="n">
        <f aca="false">$B7</f>
        <v>80</v>
      </c>
      <c r="H7" s="24" t="n">
        <f aca="false">$B7</f>
        <v>80</v>
      </c>
      <c r="I7" s="24" t="n">
        <f aca="false">$B7</f>
        <v>80</v>
      </c>
      <c r="J7" s="24" t="n">
        <f aca="false">$B7</f>
        <v>80</v>
      </c>
      <c r="K7" s="24" t="n">
        <f aca="false">$B7</f>
        <v>80</v>
      </c>
      <c r="L7" s="24" t="n">
        <f aca="false">$B7</f>
        <v>80</v>
      </c>
      <c r="M7" s="24" t="n">
        <f aca="false">$B7</f>
        <v>80</v>
      </c>
      <c r="N7" s="24" t="n">
        <f aca="false">$B7</f>
        <v>80</v>
      </c>
      <c r="O7" s="19" t="n">
        <f aca="false">SUM(C7:N7)</f>
        <v>960</v>
      </c>
      <c r="P7" s="19" t="n">
        <f aca="false">$B7*12*(1+Start!$B$13)</f>
        <v>988.8</v>
      </c>
      <c r="Q7" s="19" t="n">
        <f aca="false">$B7*12*(1+Start!$B$13)^2</f>
        <v>1018.464</v>
      </c>
    </row>
    <row r="8" customFormat="false" ht="15" hidden="false" customHeight="false" outlineLevel="0" collapsed="false">
      <c r="A8" s="5" t="s">
        <v>87</v>
      </c>
      <c r="B8" s="10" t="n">
        <v>40</v>
      </c>
      <c r="C8" s="24" t="n">
        <f aca="false">$B8</f>
        <v>40</v>
      </c>
      <c r="D8" s="24" t="n">
        <f aca="false">$B8</f>
        <v>40</v>
      </c>
      <c r="E8" s="24" t="n">
        <f aca="false">$B8</f>
        <v>40</v>
      </c>
      <c r="F8" s="24" t="n">
        <f aca="false">$B8</f>
        <v>40</v>
      </c>
      <c r="G8" s="24" t="n">
        <f aca="false">$B8</f>
        <v>40</v>
      </c>
      <c r="H8" s="24" t="n">
        <f aca="false">$B8</f>
        <v>40</v>
      </c>
      <c r="I8" s="24" t="n">
        <f aca="false">$B8</f>
        <v>40</v>
      </c>
      <c r="J8" s="24" t="n">
        <f aca="false">$B8</f>
        <v>40</v>
      </c>
      <c r="K8" s="24" t="n">
        <f aca="false">$B8</f>
        <v>40</v>
      </c>
      <c r="L8" s="24" t="n">
        <f aca="false">$B8</f>
        <v>40</v>
      </c>
      <c r="M8" s="24" t="n">
        <f aca="false">$B8</f>
        <v>40</v>
      </c>
      <c r="N8" s="24" t="n">
        <f aca="false">$B8</f>
        <v>40</v>
      </c>
      <c r="O8" s="19" t="n">
        <f aca="false">SUM(C8:N8)</f>
        <v>480</v>
      </c>
      <c r="P8" s="19" t="n">
        <f aca="false">$B8*12*(1+Start!$B$13)</f>
        <v>494.4</v>
      </c>
      <c r="Q8" s="19" t="n">
        <f aca="false">$B8*12*(1+Start!$B$13)^2</f>
        <v>509.232</v>
      </c>
    </row>
    <row r="9" customFormat="false" ht="15" hidden="false" customHeight="false" outlineLevel="0" collapsed="false">
      <c r="A9" s="5" t="s">
        <v>88</v>
      </c>
      <c r="B9" s="10" t="n">
        <v>60</v>
      </c>
      <c r="C9" s="24" t="n">
        <f aca="false">$B9</f>
        <v>60</v>
      </c>
      <c r="D9" s="24" t="n">
        <f aca="false">$B9</f>
        <v>60</v>
      </c>
      <c r="E9" s="24" t="n">
        <f aca="false">$B9</f>
        <v>60</v>
      </c>
      <c r="F9" s="24" t="n">
        <f aca="false">$B9</f>
        <v>60</v>
      </c>
      <c r="G9" s="24" t="n">
        <f aca="false">$B9</f>
        <v>60</v>
      </c>
      <c r="H9" s="24" t="n">
        <f aca="false">$B9</f>
        <v>60</v>
      </c>
      <c r="I9" s="24" t="n">
        <f aca="false">$B9</f>
        <v>60</v>
      </c>
      <c r="J9" s="24" t="n">
        <f aca="false">$B9</f>
        <v>60</v>
      </c>
      <c r="K9" s="24" t="n">
        <f aca="false">$B9</f>
        <v>60</v>
      </c>
      <c r="L9" s="24" t="n">
        <f aca="false">$B9</f>
        <v>60</v>
      </c>
      <c r="M9" s="24" t="n">
        <f aca="false">$B9</f>
        <v>60</v>
      </c>
      <c r="N9" s="24" t="n">
        <f aca="false">$B9</f>
        <v>60</v>
      </c>
      <c r="O9" s="19" t="n">
        <f aca="false">SUM(C9:N9)</f>
        <v>720</v>
      </c>
      <c r="P9" s="19" t="n">
        <f aca="false">$B9*12*(1+Start!$B$13)</f>
        <v>741.6</v>
      </c>
      <c r="Q9" s="19" t="n">
        <f aca="false">$B9*12*(1+Start!$B$13)^2</f>
        <v>763.848</v>
      </c>
    </row>
    <row r="10" customFormat="false" ht="15" hidden="false" customHeight="false" outlineLevel="0" collapsed="false">
      <c r="A10" s="5" t="s">
        <v>89</v>
      </c>
      <c r="B10" s="10" t="n">
        <v>250</v>
      </c>
      <c r="C10" s="24" t="n">
        <f aca="false">$B10</f>
        <v>250</v>
      </c>
      <c r="D10" s="24" t="n">
        <f aca="false">$B10</f>
        <v>250</v>
      </c>
      <c r="E10" s="24" t="n">
        <f aca="false">$B10</f>
        <v>250</v>
      </c>
      <c r="F10" s="24" t="n">
        <f aca="false">$B10</f>
        <v>250</v>
      </c>
      <c r="G10" s="24" t="n">
        <f aca="false">$B10</f>
        <v>250</v>
      </c>
      <c r="H10" s="24" t="n">
        <f aca="false">$B10</f>
        <v>250</v>
      </c>
      <c r="I10" s="24" t="n">
        <f aca="false">$B10</f>
        <v>250</v>
      </c>
      <c r="J10" s="24" t="n">
        <f aca="false">$B10</f>
        <v>250</v>
      </c>
      <c r="K10" s="24" t="n">
        <f aca="false">$B10</f>
        <v>250</v>
      </c>
      <c r="L10" s="24" t="n">
        <f aca="false">$B10</f>
        <v>250</v>
      </c>
      <c r="M10" s="24" t="n">
        <f aca="false">$B10</f>
        <v>250</v>
      </c>
      <c r="N10" s="24" t="n">
        <f aca="false">$B10</f>
        <v>250</v>
      </c>
      <c r="O10" s="19" t="n">
        <f aca="false">SUM(C10:N10)</f>
        <v>3000</v>
      </c>
      <c r="P10" s="19" t="n">
        <f aca="false">$B10*12*(1+Start!$B$13)</f>
        <v>3090</v>
      </c>
      <c r="Q10" s="19" t="n">
        <f aca="false">$B10*12*(1+Start!$B$13)^2</f>
        <v>3182.7</v>
      </c>
    </row>
    <row r="11" customFormat="false" ht="15" hidden="false" customHeight="false" outlineLevel="0" collapsed="false">
      <c r="A11" s="5" t="s">
        <v>90</v>
      </c>
      <c r="B11" s="10" t="n">
        <v>120</v>
      </c>
      <c r="C11" s="24" t="n">
        <f aca="false">$B11</f>
        <v>120</v>
      </c>
      <c r="D11" s="24" t="n">
        <f aca="false">$B11</f>
        <v>120</v>
      </c>
      <c r="E11" s="24" t="n">
        <f aca="false">$B11</f>
        <v>120</v>
      </c>
      <c r="F11" s="24" t="n">
        <f aca="false">$B11</f>
        <v>120</v>
      </c>
      <c r="G11" s="24" t="n">
        <f aca="false">$B11</f>
        <v>120</v>
      </c>
      <c r="H11" s="24" t="n">
        <f aca="false">$B11</f>
        <v>120</v>
      </c>
      <c r="I11" s="24" t="n">
        <f aca="false">$B11</f>
        <v>120</v>
      </c>
      <c r="J11" s="24" t="n">
        <f aca="false">$B11</f>
        <v>120</v>
      </c>
      <c r="K11" s="24" t="n">
        <f aca="false">$B11</f>
        <v>120</v>
      </c>
      <c r="L11" s="24" t="n">
        <f aca="false">$B11</f>
        <v>120</v>
      </c>
      <c r="M11" s="24" t="n">
        <f aca="false">$B11</f>
        <v>120</v>
      </c>
      <c r="N11" s="24" t="n">
        <f aca="false">$B11</f>
        <v>120</v>
      </c>
      <c r="O11" s="19" t="n">
        <f aca="false">SUM(C11:N11)</f>
        <v>1440</v>
      </c>
      <c r="P11" s="19" t="n">
        <f aca="false">$B11*12*(1+Start!$B$13)</f>
        <v>1483.2</v>
      </c>
      <c r="Q11" s="19" t="n">
        <f aca="false">$B11*12*(1+Start!$B$13)^2</f>
        <v>1527.696</v>
      </c>
    </row>
    <row r="12" customFormat="false" ht="15" hidden="false" customHeight="false" outlineLevel="0" collapsed="false">
      <c r="A12" s="5" t="s">
        <v>91</v>
      </c>
      <c r="B12" s="10" t="n">
        <v>50</v>
      </c>
      <c r="C12" s="24" t="n">
        <f aca="false">$B12</f>
        <v>50</v>
      </c>
      <c r="D12" s="24" t="n">
        <f aca="false">$B12</f>
        <v>50</v>
      </c>
      <c r="E12" s="24" t="n">
        <f aca="false">$B12</f>
        <v>50</v>
      </c>
      <c r="F12" s="24" t="n">
        <f aca="false">$B12</f>
        <v>50</v>
      </c>
      <c r="G12" s="24" t="n">
        <f aca="false">$B12</f>
        <v>50</v>
      </c>
      <c r="H12" s="24" t="n">
        <f aca="false">$B12</f>
        <v>50</v>
      </c>
      <c r="I12" s="24" t="n">
        <f aca="false">$B12</f>
        <v>50</v>
      </c>
      <c r="J12" s="24" t="n">
        <f aca="false">$B12</f>
        <v>50</v>
      </c>
      <c r="K12" s="24" t="n">
        <f aca="false">$B12</f>
        <v>50</v>
      </c>
      <c r="L12" s="24" t="n">
        <f aca="false">$B12</f>
        <v>50</v>
      </c>
      <c r="M12" s="24" t="n">
        <f aca="false">$B12</f>
        <v>50</v>
      </c>
      <c r="N12" s="24" t="n">
        <f aca="false">$B12</f>
        <v>50</v>
      </c>
      <c r="O12" s="19" t="n">
        <f aca="false">SUM(C12:N12)</f>
        <v>600</v>
      </c>
      <c r="P12" s="19" t="n">
        <f aca="false">$B12*12*(1+Start!$B$13)</f>
        <v>618</v>
      </c>
      <c r="Q12" s="19" t="n">
        <f aca="false">$B12*12*(1+Start!$B$13)^2</f>
        <v>636.54</v>
      </c>
    </row>
    <row r="13" customFormat="false" ht="15" hidden="false" customHeight="false" outlineLevel="0" collapsed="false">
      <c r="A13" s="5" t="s">
        <v>92</v>
      </c>
      <c r="B13" s="10" t="n">
        <v>0</v>
      </c>
      <c r="C13" s="24" t="n">
        <f aca="false">$B13</f>
        <v>0</v>
      </c>
      <c r="D13" s="24" t="n">
        <f aca="false">$B13</f>
        <v>0</v>
      </c>
      <c r="E13" s="24" t="n">
        <f aca="false">$B13</f>
        <v>0</v>
      </c>
      <c r="F13" s="24" t="n">
        <f aca="false">$B13</f>
        <v>0</v>
      </c>
      <c r="G13" s="24" t="n">
        <f aca="false">$B13</f>
        <v>0</v>
      </c>
      <c r="H13" s="24" t="n">
        <f aca="false">$B13</f>
        <v>0</v>
      </c>
      <c r="I13" s="24" t="n">
        <f aca="false">$B13</f>
        <v>0</v>
      </c>
      <c r="J13" s="24" t="n">
        <f aca="false">$B13</f>
        <v>0</v>
      </c>
      <c r="K13" s="24" t="n">
        <f aca="false">$B13</f>
        <v>0</v>
      </c>
      <c r="L13" s="24" t="n">
        <f aca="false">$B13</f>
        <v>0</v>
      </c>
      <c r="M13" s="24" t="n">
        <f aca="false">$B13</f>
        <v>0</v>
      </c>
      <c r="N13" s="24" t="n">
        <f aca="false">$B13</f>
        <v>0</v>
      </c>
      <c r="O13" s="19" t="n">
        <f aca="false">SUM(C13:N13)</f>
        <v>0</v>
      </c>
      <c r="P13" s="19" t="n">
        <f aca="false">$B13*12*(1+Start!$B$13)</f>
        <v>0</v>
      </c>
      <c r="Q13" s="19" t="n">
        <f aca="false">$B13*12*(1+Start!$B$13)^2</f>
        <v>0</v>
      </c>
    </row>
    <row r="14" customFormat="false" ht="15" hidden="false" customHeight="false" outlineLevel="0" collapsed="false">
      <c r="A14" s="5" t="s">
        <v>93</v>
      </c>
      <c r="B14" s="10" t="n">
        <v>0</v>
      </c>
      <c r="C14" s="24" t="n">
        <f aca="false">$B14</f>
        <v>0</v>
      </c>
      <c r="D14" s="24" t="n">
        <f aca="false">$B14</f>
        <v>0</v>
      </c>
      <c r="E14" s="24" t="n">
        <f aca="false">$B14</f>
        <v>0</v>
      </c>
      <c r="F14" s="24" t="n">
        <f aca="false">$B14</f>
        <v>0</v>
      </c>
      <c r="G14" s="24" t="n">
        <f aca="false">$B14</f>
        <v>0</v>
      </c>
      <c r="H14" s="24" t="n">
        <f aca="false">$B14</f>
        <v>0</v>
      </c>
      <c r="I14" s="24" t="n">
        <f aca="false">$B14</f>
        <v>0</v>
      </c>
      <c r="J14" s="24" t="n">
        <f aca="false">$B14</f>
        <v>0</v>
      </c>
      <c r="K14" s="24" t="n">
        <f aca="false">$B14</f>
        <v>0</v>
      </c>
      <c r="L14" s="24" t="n">
        <f aca="false">$B14</f>
        <v>0</v>
      </c>
      <c r="M14" s="24" t="n">
        <f aca="false">$B14</f>
        <v>0</v>
      </c>
      <c r="N14" s="24" t="n">
        <f aca="false">$B14</f>
        <v>0</v>
      </c>
      <c r="O14" s="19" t="n">
        <f aca="false">SUM(C14:N14)</f>
        <v>0</v>
      </c>
      <c r="P14" s="19" t="n">
        <f aca="false">$B14*12*(1+Start!$B$13)</f>
        <v>0</v>
      </c>
      <c r="Q14" s="19" t="n">
        <f aca="false">$B14*12*(1+Start!$B$13)^2</f>
        <v>0</v>
      </c>
    </row>
    <row r="15" customFormat="false" ht="15" hidden="false" customHeight="false" outlineLevel="0" collapsed="false">
      <c r="A15" s="5" t="s">
        <v>94</v>
      </c>
      <c r="B15" s="10" t="n">
        <v>0</v>
      </c>
      <c r="C15" s="24" t="n">
        <f aca="false">$B15</f>
        <v>0</v>
      </c>
      <c r="D15" s="24" t="n">
        <f aca="false">$B15</f>
        <v>0</v>
      </c>
      <c r="E15" s="24" t="n">
        <f aca="false">$B15</f>
        <v>0</v>
      </c>
      <c r="F15" s="24" t="n">
        <f aca="false">$B15</f>
        <v>0</v>
      </c>
      <c r="G15" s="24" t="n">
        <f aca="false">$B15</f>
        <v>0</v>
      </c>
      <c r="H15" s="24" t="n">
        <f aca="false">$B15</f>
        <v>0</v>
      </c>
      <c r="I15" s="24" t="n">
        <f aca="false">$B15</f>
        <v>0</v>
      </c>
      <c r="J15" s="24" t="n">
        <f aca="false">$B15</f>
        <v>0</v>
      </c>
      <c r="K15" s="24" t="n">
        <f aca="false">$B15</f>
        <v>0</v>
      </c>
      <c r="L15" s="24" t="n">
        <f aca="false">$B15</f>
        <v>0</v>
      </c>
      <c r="M15" s="24" t="n">
        <f aca="false">$B15</f>
        <v>0</v>
      </c>
      <c r="N15" s="24" t="n">
        <f aca="false">$B15</f>
        <v>0</v>
      </c>
      <c r="O15" s="19" t="n">
        <f aca="false">SUM(C15:N15)</f>
        <v>0</v>
      </c>
      <c r="P15" s="19" t="n">
        <f aca="false">$B15*12*(1+Start!$B$13)</f>
        <v>0</v>
      </c>
      <c r="Q15" s="19" t="n">
        <f aca="false">$B15*12*(1+Start!$B$13)^2</f>
        <v>0</v>
      </c>
    </row>
    <row r="16" customFormat="false" ht="15" hidden="false" customHeight="false" outlineLevel="0" collapsed="false">
      <c r="A16" s="5" t="s">
        <v>94</v>
      </c>
      <c r="B16" s="10" t="n">
        <v>0</v>
      </c>
      <c r="C16" s="24" t="n">
        <f aca="false">$B16</f>
        <v>0</v>
      </c>
      <c r="D16" s="24" t="n">
        <f aca="false">$B16</f>
        <v>0</v>
      </c>
      <c r="E16" s="24" t="n">
        <f aca="false">$B16</f>
        <v>0</v>
      </c>
      <c r="F16" s="24" t="n">
        <f aca="false">$B16</f>
        <v>0</v>
      </c>
      <c r="G16" s="24" t="n">
        <f aca="false">$B16</f>
        <v>0</v>
      </c>
      <c r="H16" s="24" t="n">
        <f aca="false">$B16</f>
        <v>0</v>
      </c>
      <c r="I16" s="24" t="n">
        <f aca="false">$B16</f>
        <v>0</v>
      </c>
      <c r="J16" s="24" t="n">
        <f aca="false">$B16</f>
        <v>0</v>
      </c>
      <c r="K16" s="24" t="n">
        <f aca="false">$B16</f>
        <v>0</v>
      </c>
      <c r="L16" s="24" t="n">
        <f aca="false">$B16</f>
        <v>0</v>
      </c>
      <c r="M16" s="24" t="n">
        <f aca="false">$B16</f>
        <v>0</v>
      </c>
      <c r="N16" s="24" t="n">
        <f aca="false">$B16</f>
        <v>0</v>
      </c>
      <c r="O16" s="19" t="n">
        <f aca="false">SUM(C16:N16)</f>
        <v>0</v>
      </c>
      <c r="P16" s="19" t="n">
        <f aca="false">$B16*12*(1+Start!$B$13)</f>
        <v>0</v>
      </c>
      <c r="Q16" s="19" t="n">
        <f aca="false">$B16*12*(1+Start!$B$13)^2</f>
        <v>0</v>
      </c>
    </row>
    <row r="17" customFormat="false" ht="15" hidden="false" customHeight="false" outlineLevel="0" collapsed="false">
      <c r="A17" s="20" t="s">
        <v>95</v>
      </c>
      <c r="B17" s="22" t="n">
        <f aca="false">SUM(B5:B16)</f>
        <v>1200</v>
      </c>
      <c r="C17" s="22" t="n">
        <f aca="false">SUM(C5:C16)</f>
        <v>1200</v>
      </c>
      <c r="D17" s="22" t="n">
        <f aca="false">SUM(D5:D16)</f>
        <v>1200</v>
      </c>
      <c r="E17" s="22" t="n">
        <f aca="false">SUM(E5:E16)</f>
        <v>1200</v>
      </c>
      <c r="F17" s="22" t="n">
        <f aca="false">SUM(F5:F16)</f>
        <v>1200</v>
      </c>
      <c r="G17" s="22" t="n">
        <f aca="false">SUM(G5:G16)</f>
        <v>1200</v>
      </c>
      <c r="H17" s="22" t="n">
        <f aca="false">SUM(H5:H16)</f>
        <v>1200</v>
      </c>
      <c r="I17" s="22" t="n">
        <f aca="false">SUM(I5:I16)</f>
        <v>1200</v>
      </c>
      <c r="J17" s="22" t="n">
        <f aca="false">SUM(J5:J16)</f>
        <v>1200</v>
      </c>
      <c r="K17" s="22" t="n">
        <f aca="false">SUM(K5:K16)</f>
        <v>1200</v>
      </c>
      <c r="L17" s="22" t="n">
        <f aca="false">SUM(L5:L16)</f>
        <v>1200</v>
      </c>
      <c r="M17" s="22" t="n">
        <f aca="false">SUM(M5:M16)</f>
        <v>1200</v>
      </c>
      <c r="N17" s="22" t="n">
        <f aca="false">SUM(N5:N16)</f>
        <v>1200</v>
      </c>
      <c r="O17" s="22" t="n">
        <f aca="false">SUM(O5:O16)</f>
        <v>14400</v>
      </c>
      <c r="P17" s="22" t="n">
        <f aca="false">SUM(P5:P16)</f>
        <v>14832</v>
      </c>
      <c r="Q17" s="22" t="n">
        <f aca="false">SUM(Q5:Q16)</f>
        <v>15276.96</v>
      </c>
    </row>
    <row r="19" customFormat="false" ht="15" hidden="false" customHeight="true" outlineLevel="0" collapsed="false">
      <c r="A19" s="4" t="s">
        <v>96</v>
      </c>
      <c r="B19" s="8" t="n">
        <v>0.8</v>
      </c>
      <c r="C19" s="23" t="s">
        <v>97</v>
      </c>
      <c r="D19" s="23"/>
      <c r="E19" s="23"/>
      <c r="F19" s="23"/>
      <c r="G19" s="23"/>
      <c r="H19" s="23"/>
      <c r="I19" s="23"/>
      <c r="J19" s="23"/>
      <c r="K19" s="23"/>
      <c r="L19" s="23"/>
      <c r="M19" s="23"/>
      <c r="N19" s="23"/>
      <c r="O19" s="23"/>
      <c r="P19" s="23"/>
      <c r="Q19" s="23"/>
    </row>
    <row r="21" customFormat="false" ht="23.85" hidden="false" customHeight="false" outlineLevel="0" collapsed="false">
      <c r="A21" s="17" t="s">
        <v>98</v>
      </c>
      <c r="B21" s="17" t="s">
        <v>99</v>
      </c>
      <c r="C21" s="18" t="n">
        <f aca="false">DATE(YEAR(Start!$B$6),MONTH(Start!$B$6)+0,1)</f>
        <v>46388</v>
      </c>
      <c r="D21" s="18" t="n">
        <f aca="false">DATE(YEAR(Start!$B$6),MONTH(Start!$B$6)+1,1)</f>
        <v>46419</v>
      </c>
      <c r="E21" s="18" t="n">
        <f aca="false">DATE(YEAR(Start!$B$6),MONTH(Start!$B$6)+2,1)</f>
        <v>46447</v>
      </c>
      <c r="F21" s="18" t="n">
        <f aca="false">DATE(YEAR(Start!$B$6),MONTH(Start!$B$6)+3,1)</f>
        <v>46478</v>
      </c>
      <c r="G21" s="18" t="n">
        <f aca="false">DATE(YEAR(Start!$B$6),MONTH(Start!$B$6)+4,1)</f>
        <v>46508</v>
      </c>
      <c r="H21" s="18" t="n">
        <f aca="false">DATE(YEAR(Start!$B$6),MONTH(Start!$B$6)+5,1)</f>
        <v>46539</v>
      </c>
      <c r="I21" s="18" t="n">
        <f aca="false">DATE(YEAR(Start!$B$6),MONTH(Start!$B$6)+6,1)</f>
        <v>46569</v>
      </c>
      <c r="J21" s="18" t="n">
        <f aca="false">DATE(YEAR(Start!$B$6),MONTH(Start!$B$6)+7,1)</f>
        <v>46600</v>
      </c>
      <c r="K21" s="18" t="n">
        <f aca="false">DATE(YEAR(Start!$B$6),MONTH(Start!$B$6)+8,1)</f>
        <v>46631</v>
      </c>
      <c r="L21" s="18" t="n">
        <f aca="false">DATE(YEAR(Start!$B$6),MONTH(Start!$B$6)+9,1)</f>
        <v>46661</v>
      </c>
      <c r="M21" s="18" t="n">
        <f aca="false">DATE(YEAR(Start!$B$6),MONTH(Start!$B$6)+10,1)</f>
        <v>46692</v>
      </c>
      <c r="N21" s="18" t="n">
        <f aca="false">DATE(YEAR(Start!$B$6),MONTH(Start!$B$6)+11,1)</f>
        <v>46722</v>
      </c>
      <c r="O21" s="17" t="s">
        <v>60</v>
      </c>
      <c r="P21" s="17" t="s">
        <v>61</v>
      </c>
      <c r="Q21" s="17" t="s">
        <v>62</v>
      </c>
      <c r="R21" s="17" t="s">
        <v>100</v>
      </c>
      <c r="S21" s="17" t="s">
        <v>101</v>
      </c>
    </row>
    <row r="22" customFormat="false" ht="15" hidden="false" customHeight="false" outlineLevel="0" collapsed="false">
      <c r="A22" s="5" t="s">
        <v>102</v>
      </c>
      <c r="B22" s="10" t="n">
        <v>0</v>
      </c>
      <c r="C22" s="19" t="n">
        <f aca="false">IF(AND($B22&gt;0,ISNUMBER($R22),$R22&lt;=1),$B22*(1+IF($S22="ja",$B$30,$B$29)),0)</f>
        <v>0</v>
      </c>
      <c r="D22" s="19" t="n">
        <f aca="false">IF(AND($B22&gt;0,ISNUMBER($R22),$R22&lt;=2),$B22*(1+IF($S22="ja",$B$30,$B$29)),0)</f>
        <v>0</v>
      </c>
      <c r="E22" s="19" t="n">
        <f aca="false">IF(AND($B22&gt;0,ISNUMBER($R22),$R22&lt;=3),$B22*(1+IF($S22="ja",$B$30,$B$29)),0)</f>
        <v>0</v>
      </c>
      <c r="F22" s="19" t="n">
        <f aca="false">IF(AND($B22&gt;0,ISNUMBER($R22),$R22&lt;=4),$B22*(1+IF($S22="ja",$B$30,$B$29)),0)</f>
        <v>0</v>
      </c>
      <c r="G22" s="19" t="n">
        <f aca="false">IF(AND($B22&gt;0,ISNUMBER($R22),$R22&lt;=5),$B22*(1+IF($S22="ja",$B$30,$B$29)),0)</f>
        <v>0</v>
      </c>
      <c r="H22" s="19" t="n">
        <f aca="false">IF(AND($B22&gt;0,ISNUMBER($R22),$R22&lt;=6),$B22*(1+IF($S22="ja",$B$30,$B$29)),0)</f>
        <v>0</v>
      </c>
      <c r="I22" s="19" t="n">
        <f aca="false">IF(AND($B22&gt;0,ISNUMBER($R22),$R22&lt;=7),$B22*(1+IF($S22="ja",$B$30,$B$29)),0)</f>
        <v>0</v>
      </c>
      <c r="J22" s="19" t="n">
        <f aca="false">IF(AND($B22&gt;0,ISNUMBER($R22),$R22&lt;=8),$B22*(1+IF($S22="ja",$B$30,$B$29)),0)</f>
        <v>0</v>
      </c>
      <c r="K22" s="19" t="n">
        <f aca="false">IF(AND($B22&gt;0,ISNUMBER($R22),$R22&lt;=9),$B22*(1+IF($S22="ja",$B$30,$B$29)),0)</f>
        <v>0</v>
      </c>
      <c r="L22" s="19" t="n">
        <f aca="false">IF(AND($B22&gt;0,ISNUMBER($R22),$R22&lt;=10),$B22*(1+IF($S22="ja",$B$30,$B$29)),0)</f>
        <v>0</v>
      </c>
      <c r="M22" s="19" t="n">
        <f aca="false">IF(AND($B22&gt;0,ISNUMBER($R22),$R22&lt;=11),$B22*(1+IF($S22="ja",$B$30,$B$29)),0)</f>
        <v>0</v>
      </c>
      <c r="N22" s="19" t="n">
        <f aca="false">IF(AND($B22&gt;0,ISNUMBER($R22),$R22&lt;=12),$B22*(1+IF($S22="ja",$B$30,$B$29)),0)</f>
        <v>0</v>
      </c>
      <c r="O22" s="19" t="n">
        <f aca="false">SUM(C22:N22)</f>
        <v>0</v>
      </c>
      <c r="P22" s="19" t="n">
        <f aca="false">IF(OR($B22=0,NOT(ISNUMBER($R22))),0,$B22*(1+IF($S22="ja",$B$30,$B$29))*(1+Start!$B$13)*MAX(0,MIN(12,24-MAX($R22,13)+1)))</f>
        <v>0</v>
      </c>
      <c r="Q22" s="19" t="n">
        <f aca="false">IF(OR($B22=0,NOT(ISNUMBER($R22))),0,$B22*(1+IF($S22="ja",$B$30,$B$29))*(1+Start!$B$13)^2*MAX(0,MIN(12,36-MAX($R22,25)+1)))</f>
        <v>0</v>
      </c>
      <c r="R22" s="9"/>
      <c r="S22" s="5" t="s">
        <v>17</v>
      </c>
    </row>
    <row r="23" customFormat="false" ht="15" hidden="false" customHeight="false" outlineLevel="0" collapsed="false">
      <c r="A23" s="5" t="s">
        <v>103</v>
      </c>
      <c r="B23" s="10" t="n">
        <v>0</v>
      </c>
      <c r="C23" s="19" t="n">
        <f aca="false">IF(AND($B23&gt;0,ISNUMBER($R23),$R23&lt;=1),$B23*(1+IF($S23="ja",$B$30,$B$29)),0)</f>
        <v>0</v>
      </c>
      <c r="D23" s="19" t="n">
        <f aca="false">IF(AND($B23&gt;0,ISNUMBER($R23),$R23&lt;=2),$B23*(1+IF($S23="ja",$B$30,$B$29)),0)</f>
        <v>0</v>
      </c>
      <c r="E23" s="19" t="n">
        <f aca="false">IF(AND($B23&gt;0,ISNUMBER($R23),$R23&lt;=3),$B23*(1+IF($S23="ja",$B$30,$B$29)),0)</f>
        <v>0</v>
      </c>
      <c r="F23" s="19" t="n">
        <f aca="false">IF(AND($B23&gt;0,ISNUMBER($R23),$R23&lt;=4),$B23*(1+IF($S23="ja",$B$30,$B$29)),0)</f>
        <v>0</v>
      </c>
      <c r="G23" s="19" t="n">
        <f aca="false">IF(AND($B23&gt;0,ISNUMBER($R23),$R23&lt;=5),$B23*(1+IF($S23="ja",$B$30,$B$29)),0)</f>
        <v>0</v>
      </c>
      <c r="H23" s="19" t="n">
        <f aca="false">IF(AND($B23&gt;0,ISNUMBER($R23),$R23&lt;=6),$B23*(1+IF($S23="ja",$B$30,$B$29)),0)</f>
        <v>0</v>
      </c>
      <c r="I23" s="19" t="n">
        <f aca="false">IF(AND($B23&gt;0,ISNUMBER($R23),$R23&lt;=7),$B23*(1+IF($S23="ja",$B$30,$B$29)),0)</f>
        <v>0</v>
      </c>
      <c r="J23" s="19" t="n">
        <f aca="false">IF(AND($B23&gt;0,ISNUMBER($R23),$R23&lt;=8),$B23*(1+IF($S23="ja",$B$30,$B$29)),0)</f>
        <v>0</v>
      </c>
      <c r="K23" s="19" t="n">
        <f aca="false">IF(AND($B23&gt;0,ISNUMBER($R23),$R23&lt;=9),$B23*(1+IF($S23="ja",$B$30,$B$29)),0)</f>
        <v>0</v>
      </c>
      <c r="L23" s="19" t="n">
        <f aca="false">IF(AND($B23&gt;0,ISNUMBER($R23),$R23&lt;=10),$B23*(1+IF($S23="ja",$B$30,$B$29)),0)</f>
        <v>0</v>
      </c>
      <c r="M23" s="19" t="n">
        <f aca="false">IF(AND($B23&gt;0,ISNUMBER($R23),$R23&lt;=11),$B23*(1+IF($S23="ja",$B$30,$B$29)),0)</f>
        <v>0</v>
      </c>
      <c r="N23" s="19" t="n">
        <f aca="false">IF(AND($B23&gt;0,ISNUMBER($R23),$R23&lt;=12),$B23*(1+IF($S23="ja",$B$30,$B$29)),0)</f>
        <v>0</v>
      </c>
      <c r="O23" s="19" t="n">
        <f aca="false">SUM(C23:N23)</f>
        <v>0</v>
      </c>
      <c r="P23" s="19" t="n">
        <f aca="false">IF(OR($B23=0,NOT(ISNUMBER($R23))),0,$B23*(1+IF($S23="ja",$B$30,$B$29))*(1+Start!$B$13)*MAX(0,MIN(12,24-MAX($R23,13)+1)))</f>
        <v>0</v>
      </c>
      <c r="Q23" s="19" t="n">
        <f aca="false">IF(OR($B23=0,NOT(ISNUMBER($R23))),0,$B23*(1+IF($S23="ja",$B$30,$B$29))*(1+Start!$B$13)^2*MAX(0,MIN(12,36-MAX($R23,25)+1)))</f>
        <v>0</v>
      </c>
      <c r="R23" s="9"/>
      <c r="S23" s="5" t="s">
        <v>17</v>
      </c>
    </row>
    <row r="24" customFormat="false" ht="15" hidden="false" customHeight="false" outlineLevel="0" collapsed="false">
      <c r="A24" s="5" t="s">
        <v>104</v>
      </c>
      <c r="B24" s="10" t="n">
        <v>0</v>
      </c>
      <c r="C24" s="19" t="n">
        <f aca="false">IF(AND($B24&gt;0,ISNUMBER($R24),$R24&lt;=1),$B24*(1+IF($S24="ja",$B$30,$B$29)),0)</f>
        <v>0</v>
      </c>
      <c r="D24" s="19" t="n">
        <f aca="false">IF(AND($B24&gt;0,ISNUMBER($R24),$R24&lt;=2),$B24*(1+IF($S24="ja",$B$30,$B$29)),0)</f>
        <v>0</v>
      </c>
      <c r="E24" s="19" t="n">
        <f aca="false">IF(AND($B24&gt;0,ISNUMBER($R24),$R24&lt;=3),$B24*(1+IF($S24="ja",$B$30,$B$29)),0)</f>
        <v>0</v>
      </c>
      <c r="F24" s="19" t="n">
        <f aca="false">IF(AND($B24&gt;0,ISNUMBER($R24),$R24&lt;=4),$B24*(1+IF($S24="ja",$B$30,$B$29)),0)</f>
        <v>0</v>
      </c>
      <c r="G24" s="19" t="n">
        <f aca="false">IF(AND($B24&gt;0,ISNUMBER($R24),$R24&lt;=5),$B24*(1+IF($S24="ja",$B$30,$B$29)),0)</f>
        <v>0</v>
      </c>
      <c r="H24" s="19" t="n">
        <f aca="false">IF(AND($B24&gt;0,ISNUMBER($R24),$R24&lt;=6),$B24*(1+IF($S24="ja",$B$30,$B$29)),0)</f>
        <v>0</v>
      </c>
      <c r="I24" s="19" t="n">
        <f aca="false">IF(AND($B24&gt;0,ISNUMBER($R24),$R24&lt;=7),$B24*(1+IF($S24="ja",$B$30,$B$29)),0)</f>
        <v>0</v>
      </c>
      <c r="J24" s="19" t="n">
        <f aca="false">IF(AND($B24&gt;0,ISNUMBER($R24),$R24&lt;=8),$B24*(1+IF($S24="ja",$B$30,$B$29)),0)</f>
        <v>0</v>
      </c>
      <c r="K24" s="19" t="n">
        <f aca="false">IF(AND($B24&gt;0,ISNUMBER($R24),$R24&lt;=9),$B24*(1+IF($S24="ja",$B$30,$B$29)),0)</f>
        <v>0</v>
      </c>
      <c r="L24" s="19" t="n">
        <f aca="false">IF(AND($B24&gt;0,ISNUMBER($R24),$R24&lt;=10),$B24*(1+IF($S24="ja",$B$30,$B$29)),0)</f>
        <v>0</v>
      </c>
      <c r="M24" s="19" t="n">
        <f aca="false">IF(AND($B24&gt;0,ISNUMBER($R24),$R24&lt;=11),$B24*(1+IF($S24="ja",$B$30,$B$29)),0)</f>
        <v>0</v>
      </c>
      <c r="N24" s="19" t="n">
        <f aca="false">IF(AND($B24&gt;0,ISNUMBER($R24),$R24&lt;=12),$B24*(1+IF($S24="ja",$B$30,$B$29)),0)</f>
        <v>0</v>
      </c>
      <c r="O24" s="19" t="n">
        <f aca="false">SUM(C24:N24)</f>
        <v>0</v>
      </c>
      <c r="P24" s="19" t="n">
        <f aca="false">IF(OR($B24=0,NOT(ISNUMBER($R24))),0,$B24*(1+IF($S24="ja",$B$30,$B$29))*(1+Start!$B$13)*MAX(0,MIN(12,24-MAX($R24,13)+1)))</f>
        <v>0</v>
      </c>
      <c r="Q24" s="19" t="n">
        <f aca="false">IF(OR($B24=0,NOT(ISNUMBER($R24))),0,$B24*(1+IF($S24="ja",$B$30,$B$29))*(1+Start!$B$13)^2*MAX(0,MIN(12,36-MAX($R24,25)+1)))</f>
        <v>0</v>
      </c>
      <c r="R24" s="9"/>
      <c r="S24" s="5" t="s">
        <v>17</v>
      </c>
    </row>
    <row r="25" customFormat="false" ht="15" hidden="false" customHeight="false" outlineLevel="0" collapsed="false">
      <c r="A25" s="5" t="s">
        <v>105</v>
      </c>
      <c r="B25" s="10" t="n">
        <v>0</v>
      </c>
      <c r="C25" s="19" t="n">
        <f aca="false">IF(AND($B25&gt;0,ISNUMBER($R25),$R25&lt;=1),$B25*(1+IF($S25="ja",$B$30,$B$29)),0)</f>
        <v>0</v>
      </c>
      <c r="D25" s="19" t="n">
        <f aca="false">IF(AND($B25&gt;0,ISNUMBER($R25),$R25&lt;=2),$B25*(1+IF($S25="ja",$B$30,$B$29)),0)</f>
        <v>0</v>
      </c>
      <c r="E25" s="19" t="n">
        <f aca="false">IF(AND($B25&gt;0,ISNUMBER($R25),$R25&lt;=3),$B25*(1+IF($S25="ja",$B$30,$B$29)),0)</f>
        <v>0</v>
      </c>
      <c r="F25" s="19" t="n">
        <f aca="false">IF(AND($B25&gt;0,ISNUMBER($R25),$R25&lt;=4),$B25*(1+IF($S25="ja",$B$30,$B$29)),0)</f>
        <v>0</v>
      </c>
      <c r="G25" s="19" t="n">
        <f aca="false">IF(AND($B25&gt;0,ISNUMBER($R25),$R25&lt;=5),$B25*(1+IF($S25="ja",$B$30,$B$29)),0)</f>
        <v>0</v>
      </c>
      <c r="H25" s="19" t="n">
        <f aca="false">IF(AND($B25&gt;0,ISNUMBER($R25),$R25&lt;=6),$B25*(1+IF($S25="ja",$B$30,$B$29)),0)</f>
        <v>0</v>
      </c>
      <c r="I25" s="19" t="n">
        <f aca="false">IF(AND($B25&gt;0,ISNUMBER($R25),$R25&lt;=7),$B25*(1+IF($S25="ja",$B$30,$B$29)),0)</f>
        <v>0</v>
      </c>
      <c r="J25" s="19" t="n">
        <f aca="false">IF(AND($B25&gt;0,ISNUMBER($R25),$R25&lt;=8),$B25*(1+IF($S25="ja",$B$30,$B$29)),0)</f>
        <v>0</v>
      </c>
      <c r="K25" s="19" t="n">
        <f aca="false">IF(AND($B25&gt;0,ISNUMBER($R25),$R25&lt;=9),$B25*(1+IF($S25="ja",$B$30,$B$29)),0)</f>
        <v>0</v>
      </c>
      <c r="L25" s="19" t="n">
        <f aca="false">IF(AND($B25&gt;0,ISNUMBER($R25),$R25&lt;=10),$B25*(1+IF($S25="ja",$B$30,$B$29)),0)</f>
        <v>0</v>
      </c>
      <c r="M25" s="19" t="n">
        <f aca="false">IF(AND($B25&gt;0,ISNUMBER($R25),$R25&lt;=11),$B25*(1+IF($S25="ja",$B$30,$B$29)),0)</f>
        <v>0</v>
      </c>
      <c r="N25" s="19" t="n">
        <f aca="false">IF(AND($B25&gt;0,ISNUMBER($R25),$R25&lt;=12),$B25*(1+IF($S25="ja",$B$30,$B$29)),0)</f>
        <v>0</v>
      </c>
      <c r="O25" s="19" t="n">
        <f aca="false">SUM(C25:N25)</f>
        <v>0</v>
      </c>
      <c r="P25" s="19" t="n">
        <f aca="false">IF(OR($B25=0,NOT(ISNUMBER($R25))),0,$B25*(1+IF($S25="ja",$B$30,$B$29))*(1+Start!$B$13)*MAX(0,MIN(12,24-MAX($R25,13)+1)))</f>
        <v>0</v>
      </c>
      <c r="Q25" s="19" t="n">
        <f aca="false">IF(OR($B25=0,NOT(ISNUMBER($R25))),0,$B25*(1+IF($S25="ja",$B$30,$B$29))*(1+Start!$B$13)^2*MAX(0,MIN(12,36-MAX($R25,25)+1)))</f>
        <v>0</v>
      </c>
      <c r="R25" s="9"/>
      <c r="S25" s="5" t="s">
        <v>17</v>
      </c>
    </row>
    <row r="26" customFormat="false" ht="15" hidden="false" customHeight="false" outlineLevel="0" collapsed="false">
      <c r="A26" s="5" t="s">
        <v>106</v>
      </c>
      <c r="B26" s="10" t="n">
        <v>0</v>
      </c>
      <c r="C26" s="19" t="n">
        <f aca="false">IF(AND($B26&gt;0,ISNUMBER($R26),$R26&lt;=1),$B26*(1+IF($S26="ja",$B$30,$B$29)),0)</f>
        <v>0</v>
      </c>
      <c r="D26" s="19" t="n">
        <f aca="false">IF(AND($B26&gt;0,ISNUMBER($R26),$R26&lt;=2),$B26*(1+IF($S26="ja",$B$30,$B$29)),0)</f>
        <v>0</v>
      </c>
      <c r="E26" s="19" t="n">
        <f aca="false">IF(AND($B26&gt;0,ISNUMBER($R26),$R26&lt;=3),$B26*(1+IF($S26="ja",$B$30,$B$29)),0)</f>
        <v>0</v>
      </c>
      <c r="F26" s="19" t="n">
        <f aca="false">IF(AND($B26&gt;0,ISNUMBER($R26),$R26&lt;=4),$B26*(1+IF($S26="ja",$B$30,$B$29)),0)</f>
        <v>0</v>
      </c>
      <c r="G26" s="19" t="n">
        <f aca="false">IF(AND($B26&gt;0,ISNUMBER($R26),$R26&lt;=5),$B26*(1+IF($S26="ja",$B$30,$B$29)),0)</f>
        <v>0</v>
      </c>
      <c r="H26" s="19" t="n">
        <f aca="false">IF(AND($B26&gt;0,ISNUMBER($R26),$R26&lt;=6),$B26*(1+IF($S26="ja",$B$30,$B$29)),0)</f>
        <v>0</v>
      </c>
      <c r="I26" s="19" t="n">
        <f aca="false">IF(AND($B26&gt;0,ISNUMBER($R26),$R26&lt;=7),$B26*(1+IF($S26="ja",$B$30,$B$29)),0)</f>
        <v>0</v>
      </c>
      <c r="J26" s="19" t="n">
        <f aca="false">IF(AND($B26&gt;0,ISNUMBER($R26),$R26&lt;=8),$B26*(1+IF($S26="ja",$B$30,$B$29)),0)</f>
        <v>0</v>
      </c>
      <c r="K26" s="19" t="n">
        <f aca="false">IF(AND($B26&gt;0,ISNUMBER($R26),$R26&lt;=9),$B26*(1+IF($S26="ja",$B$30,$B$29)),0)</f>
        <v>0</v>
      </c>
      <c r="L26" s="19" t="n">
        <f aca="false">IF(AND($B26&gt;0,ISNUMBER($R26),$R26&lt;=10),$B26*(1+IF($S26="ja",$B$30,$B$29)),0)</f>
        <v>0</v>
      </c>
      <c r="M26" s="19" t="n">
        <f aca="false">IF(AND($B26&gt;0,ISNUMBER($R26),$R26&lt;=11),$B26*(1+IF($S26="ja",$B$30,$B$29)),0)</f>
        <v>0</v>
      </c>
      <c r="N26" s="19" t="n">
        <f aca="false">IF(AND($B26&gt;0,ISNUMBER($R26),$R26&lt;=12),$B26*(1+IF($S26="ja",$B$30,$B$29)),0)</f>
        <v>0</v>
      </c>
      <c r="O26" s="19" t="n">
        <f aca="false">SUM(C26:N26)</f>
        <v>0</v>
      </c>
      <c r="P26" s="19" t="n">
        <f aca="false">IF(OR($B26=0,NOT(ISNUMBER($R26))),0,$B26*(1+IF($S26="ja",$B$30,$B$29))*(1+Start!$B$13)*MAX(0,MIN(12,24-MAX($R26,13)+1)))</f>
        <v>0</v>
      </c>
      <c r="Q26" s="19" t="n">
        <f aca="false">IF(OR($B26=0,NOT(ISNUMBER($R26))),0,$B26*(1+IF($S26="ja",$B$30,$B$29))*(1+Start!$B$13)^2*MAX(0,MIN(12,36-MAX($R26,25)+1)))</f>
        <v>0</v>
      </c>
      <c r="R26" s="9"/>
      <c r="S26" s="5" t="s">
        <v>17</v>
      </c>
    </row>
    <row r="27" customFormat="false" ht="15" hidden="false" customHeight="false" outlineLevel="0" collapsed="false">
      <c r="A27" s="20" t="s">
        <v>107</v>
      </c>
      <c r="B27" s="21"/>
      <c r="C27" s="22" t="n">
        <f aca="false">SUM(C22:C26)</f>
        <v>0</v>
      </c>
      <c r="D27" s="22" t="n">
        <f aca="false">SUM(D22:D26)</f>
        <v>0</v>
      </c>
      <c r="E27" s="22" t="n">
        <f aca="false">SUM(E22:E26)</f>
        <v>0</v>
      </c>
      <c r="F27" s="22" t="n">
        <f aca="false">SUM(F22:F26)</f>
        <v>0</v>
      </c>
      <c r="G27" s="22" t="n">
        <f aca="false">SUM(G22:G26)</f>
        <v>0</v>
      </c>
      <c r="H27" s="22" t="n">
        <f aca="false">SUM(H22:H26)</f>
        <v>0</v>
      </c>
      <c r="I27" s="22" t="n">
        <f aca="false">SUM(I22:I26)</f>
        <v>0</v>
      </c>
      <c r="J27" s="22" t="n">
        <f aca="false">SUM(J22:J26)</f>
        <v>0</v>
      </c>
      <c r="K27" s="22" t="n">
        <f aca="false">SUM(K22:K26)</f>
        <v>0</v>
      </c>
      <c r="L27" s="22" t="n">
        <f aca="false">SUM(L22:L26)</f>
        <v>0</v>
      </c>
      <c r="M27" s="22" t="n">
        <f aca="false">SUM(M22:M26)</f>
        <v>0</v>
      </c>
      <c r="N27" s="22" t="n">
        <f aca="false">SUM(N22:N26)</f>
        <v>0</v>
      </c>
      <c r="O27" s="22" t="n">
        <f aca="false">SUM(O22:O26)</f>
        <v>0</v>
      </c>
      <c r="P27" s="22" t="n">
        <f aca="false">SUM(P22:P26)</f>
        <v>0</v>
      </c>
      <c r="Q27" s="22" t="n">
        <f aca="false">SUM(Q22:Q26)</f>
        <v>0</v>
      </c>
    </row>
    <row r="29" customFormat="false" ht="25.5" hidden="false" customHeight="true" outlineLevel="0" collapsed="false">
      <c r="A29" s="4" t="s">
        <v>108</v>
      </c>
      <c r="B29" s="8" t="n">
        <v>0.23</v>
      </c>
      <c r="C29" s="23" t="s">
        <v>109</v>
      </c>
      <c r="D29" s="23"/>
      <c r="E29" s="23"/>
      <c r="F29" s="23"/>
      <c r="G29" s="23"/>
      <c r="H29" s="23"/>
      <c r="I29" s="23"/>
      <c r="J29" s="23"/>
      <c r="K29" s="23"/>
      <c r="L29" s="23"/>
      <c r="M29" s="23"/>
      <c r="N29" s="23"/>
      <c r="O29" s="23"/>
      <c r="P29" s="23"/>
      <c r="Q29" s="23"/>
    </row>
    <row r="30" customFormat="false" ht="15" hidden="false" customHeight="true" outlineLevel="0" collapsed="false">
      <c r="A30" s="4" t="s">
        <v>110</v>
      </c>
      <c r="B30" s="8" t="n">
        <v>0.3</v>
      </c>
      <c r="C30" s="23" t="s">
        <v>111</v>
      </c>
      <c r="D30" s="23"/>
      <c r="E30" s="23"/>
      <c r="F30" s="23"/>
      <c r="G30" s="23"/>
      <c r="H30" s="23"/>
      <c r="I30" s="23"/>
      <c r="J30" s="23"/>
      <c r="K30" s="23"/>
      <c r="L30" s="23"/>
      <c r="M30" s="23"/>
      <c r="N30" s="23"/>
      <c r="O30" s="23"/>
      <c r="P30" s="23"/>
      <c r="Q30" s="23"/>
    </row>
    <row r="31" customFormat="false" ht="25.5" hidden="false" customHeight="true" outlineLevel="0" collapsed="false">
      <c r="A31" s="23" t="s">
        <v>112</v>
      </c>
      <c r="B31" s="23"/>
      <c r="C31" s="23"/>
      <c r="D31" s="23"/>
      <c r="E31" s="23"/>
      <c r="F31" s="23"/>
      <c r="G31" s="23"/>
      <c r="H31" s="23"/>
      <c r="I31" s="23"/>
      <c r="J31" s="23"/>
      <c r="K31" s="23"/>
      <c r="L31" s="23"/>
      <c r="M31" s="23"/>
      <c r="N31" s="23"/>
      <c r="O31" s="23"/>
      <c r="P31" s="23"/>
      <c r="Q31" s="23"/>
    </row>
  </sheetData>
  <sheetProtection sheet="true" formatCells="false" formatColumns="false" formatRows="false"/>
  <mergeCells count="4">
    <mergeCell ref="C19:Q19"/>
    <mergeCell ref="C29:Q29"/>
    <mergeCell ref="C30:Q30"/>
    <mergeCell ref="A31:Q31"/>
  </mergeCells>
  <dataValidations count="9">
    <dataValidation allowBlank="true" error="Bitte einen Betrag ab 0 eingeben." errorStyle="stop" operator="greaterThanOrEqual" showDropDown="false" showErrorMessage="true" showInputMessage="false" sqref="B5:B16 B22:B26" type="decimal">
      <formula1>0</formula1>
      <formula2>0</formula2>
    </dataValidation>
    <dataValidation allowBlank="true" error="Bitte einen Wert von 0 bis 1 eingeben." errorStyle="stop" operator="between" showDropDown="false" showErrorMessage="true" showInputMessage="false" sqref="B19" type="decimal">
      <formula1>0</formula1>
      <formula2>1</formula2>
    </dataValidation>
    <dataValidation allowBlank="true" error="Bitte einen Wert von 1 bis 36 eingeben." errorStyle="stop" operator="between" showDropDown="false" showErrorMessage="true" showInputMessage="false" sqref="R22:R26" type="whole">
      <formula1>1</formula1>
      <formula2>36</formula2>
    </dataValidation>
    <dataValidation allowBlank="false" error="Bitte einen Wert aus der Liste wählen." errorStyle="stop" operator="between" showDropDown="false" showErrorMessage="true" showInputMessage="false" sqref="S22" type="list">
      <formula1>"ja,nein"</formula1>
      <formula2>0</formula2>
    </dataValidation>
    <dataValidation allowBlank="false" error="Bitte einen Wert aus der Liste wählen." errorStyle="stop" operator="between" showDropDown="false" showErrorMessage="true" showInputMessage="false" sqref="S23" type="list">
      <formula1>"ja,nein"</formula1>
      <formula2>0</formula2>
    </dataValidation>
    <dataValidation allowBlank="false" error="Bitte einen Wert aus der Liste wählen." errorStyle="stop" operator="between" showDropDown="false" showErrorMessage="true" showInputMessage="false" sqref="S24" type="list">
      <formula1>"ja,nein"</formula1>
      <formula2>0</formula2>
    </dataValidation>
    <dataValidation allowBlank="false" error="Bitte einen Wert aus der Liste wählen." errorStyle="stop" operator="between" showDropDown="false" showErrorMessage="true" showInputMessage="false" sqref="S25" type="list">
      <formula1>"ja,nein"</formula1>
      <formula2>0</formula2>
    </dataValidation>
    <dataValidation allowBlank="false" error="Bitte einen Wert aus der Liste wählen." errorStyle="stop" operator="between" showDropDown="false" showErrorMessage="true" showInputMessage="false" sqref="S26" type="list">
      <formula1>"ja,nein"</formula1>
      <formula2>0</formula2>
    </dataValidation>
    <dataValidation allowBlank="true" error="Bitte einen Wert von 0 bis 0.6 eingeben." errorStyle="stop" operator="between" showDropDown="false" showErrorMessage="true" showInputMessage="false" sqref="B29:B30" type="decimal">
      <formula1>0</formula1>
      <formula2>0.6</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Vorlage: arbeitdigital.de/gruenden/finanzplan/ · für den eigenen Plan frei nutzbar, Fußzeile darf entfernt werden&amp;R&amp;8 &amp;A · Seite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4" min="2" style="0" width="16"/>
    <col collapsed="false" customWidth="true" hidden="false" outlineLevel="0" max="6" min="5" style="0" width="22"/>
  </cols>
  <sheetData>
    <row r="1" customFormat="false" ht="17.35" hidden="false" customHeight="false" outlineLevel="0" collapsed="false">
      <c r="A1" s="1" t="s">
        <v>113</v>
      </c>
    </row>
    <row r="2" customFormat="false" ht="15" hidden="false" customHeight="false" outlineLevel="0" collapsed="false">
      <c r="A2" s="15" t="s">
        <v>114</v>
      </c>
    </row>
    <row r="4" customFormat="false" ht="23.85" hidden="false" customHeight="false" outlineLevel="0" collapsed="false">
      <c r="A4" s="17" t="s">
        <v>115</v>
      </c>
      <c r="B4" s="17" t="s">
        <v>83</v>
      </c>
      <c r="C4" s="17" t="s">
        <v>116</v>
      </c>
    </row>
    <row r="5" customFormat="false" ht="25.5" hidden="false" customHeight="true" outlineLevel="0" collapsed="false">
      <c r="A5" s="5" t="s">
        <v>117</v>
      </c>
      <c r="B5" s="10" t="n">
        <v>900</v>
      </c>
      <c r="C5" s="23"/>
      <c r="D5" s="23"/>
      <c r="E5" s="23"/>
      <c r="F5" s="23"/>
    </row>
    <row r="6" customFormat="false" ht="25.5" hidden="false" customHeight="true" outlineLevel="0" collapsed="false">
      <c r="A6" s="5" t="s">
        <v>118</v>
      </c>
      <c r="B6" s="10" t="n">
        <v>700</v>
      </c>
      <c r="C6" s="23"/>
      <c r="D6" s="23"/>
      <c r="E6" s="23"/>
      <c r="F6" s="23"/>
    </row>
    <row r="7" customFormat="false" ht="25.5" hidden="false" customHeight="true" outlineLevel="0" collapsed="false">
      <c r="A7" s="5" t="s">
        <v>119</v>
      </c>
      <c r="B7" s="10" t="n">
        <v>200</v>
      </c>
      <c r="C7" s="23" t="s">
        <v>120</v>
      </c>
      <c r="D7" s="23"/>
      <c r="E7" s="23"/>
      <c r="F7" s="23"/>
    </row>
    <row r="8" customFormat="false" ht="25.5" hidden="false" customHeight="true" outlineLevel="0" collapsed="false">
      <c r="A8" s="5" t="s">
        <v>121</v>
      </c>
      <c r="B8" s="10" t="n">
        <v>100</v>
      </c>
      <c r="C8" s="23" t="s">
        <v>122</v>
      </c>
      <c r="D8" s="23"/>
      <c r="E8" s="23"/>
      <c r="F8" s="23"/>
    </row>
    <row r="9" customFormat="false" ht="25.5" hidden="false" customHeight="true" outlineLevel="0" collapsed="false">
      <c r="A9" s="5" t="s">
        <v>123</v>
      </c>
      <c r="B9" s="10" t="n">
        <v>50</v>
      </c>
      <c r="C9" s="23"/>
      <c r="D9" s="23"/>
      <c r="E9" s="23"/>
      <c r="F9" s="23"/>
    </row>
    <row r="10" customFormat="false" ht="25.5" hidden="false" customHeight="true" outlineLevel="0" collapsed="false">
      <c r="A10" s="5" t="s">
        <v>124</v>
      </c>
      <c r="B10" s="10" t="n">
        <v>0</v>
      </c>
      <c r="C10" s="23"/>
      <c r="D10" s="23"/>
      <c r="E10" s="23"/>
      <c r="F10" s="23"/>
    </row>
    <row r="11" customFormat="false" ht="15" hidden="false" customHeight="false" outlineLevel="0" collapsed="false">
      <c r="A11" s="20" t="s">
        <v>125</v>
      </c>
      <c r="B11" s="22" t="n">
        <f aca="false">SUM(B5:B10)</f>
        <v>1950</v>
      </c>
      <c r="C11" s="21"/>
    </row>
    <row r="13" customFormat="false" ht="15" hidden="false" customHeight="false" outlineLevel="0" collapsed="false">
      <c r="A13" s="17" t="s">
        <v>126</v>
      </c>
      <c r="B13" s="17" t="s">
        <v>127</v>
      </c>
      <c r="C13" s="17" t="s">
        <v>116</v>
      </c>
    </row>
    <row r="14" customFormat="false" ht="39.75" hidden="false" customHeight="true" outlineLevel="0" collapsed="false">
      <c r="A14" s="4" t="s">
        <v>128</v>
      </c>
      <c r="B14" s="10" t="n">
        <v>280</v>
      </c>
      <c r="C14" s="23" t="s">
        <v>129</v>
      </c>
      <c r="D14" s="23"/>
      <c r="E14" s="23"/>
      <c r="F14" s="23"/>
    </row>
    <row r="15" customFormat="false" ht="39.75" hidden="false" customHeight="true" outlineLevel="0" collapsed="false">
      <c r="A15" s="4" t="s">
        <v>130</v>
      </c>
      <c r="B15" s="8" t="n">
        <v>0.211</v>
      </c>
      <c r="C15" s="23" t="s">
        <v>131</v>
      </c>
      <c r="D15" s="23"/>
      <c r="E15" s="23"/>
      <c r="F15" s="23"/>
    </row>
    <row r="16" customFormat="false" ht="39.75" hidden="false" customHeight="true" outlineLevel="0" collapsed="false">
      <c r="A16" s="4" t="s">
        <v>132</v>
      </c>
      <c r="B16" s="8" t="n">
        <v>0</v>
      </c>
      <c r="C16" s="23" t="s">
        <v>133</v>
      </c>
      <c r="D16" s="23"/>
      <c r="E16" s="23"/>
      <c r="F16" s="23"/>
    </row>
    <row r="18" customFormat="false" ht="15" hidden="false" customHeight="false" outlineLevel="0" collapsed="false">
      <c r="A18" s="17" t="s">
        <v>134</v>
      </c>
      <c r="B18" s="17" t="s">
        <v>60</v>
      </c>
      <c r="C18" s="17" t="s">
        <v>61</v>
      </c>
      <c r="D18" s="17" t="s">
        <v>62</v>
      </c>
    </row>
    <row r="19" customFormat="false" ht="15" hidden="false" customHeight="false" outlineLevel="0" collapsed="false">
      <c r="A19" s="4" t="s">
        <v>115</v>
      </c>
      <c r="B19" s="19" t="n">
        <f aca="false">$B$11*12*(1+Start!$B$13)^0</f>
        <v>23400</v>
      </c>
      <c r="C19" s="19" t="n">
        <f aca="false">$B$11*12*(1+Start!$B$13)^1</f>
        <v>24102</v>
      </c>
      <c r="D19" s="19" t="n">
        <f aca="false">$B$11*12*(1+Start!$B$13)^2</f>
        <v>24825.06</v>
      </c>
    </row>
    <row r="20" customFormat="false" ht="15" hidden="false" customHeight="false" outlineLevel="0" collapsed="false">
      <c r="A20" s="4" t="s">
        <v>135</v>
      </c>
      <c r="B20" s="25" t="n">
        <f aca="false">Rentabilität!B15</f>
        <v>13167.6923076923</v>
      </c>
      <c r="C20" s="25" t="n">
        <f aca="false">Rentabilität!C15</f>
        <v>39129.6923076923</v>
      </c>
      <c r="D20" s="25" t="n">
        <f aca="false">Rentabilität!D15</f>
        <v>45888.7323076923</v>
      </c>
    </row>
    <row r="21" customFormat="false" ht="15" hidden="false" customHeight="false" outlineLevel="0" collapsed="false">
      <c r="A21" s="4" t="s">
        <v>136</v>
      </c>
      <c r="B21" s="19" t="n">
        <f aca="false">MAX($B$14*12,MAX(0,B20)*$B$15)</f>
        <v>3360</v>
      </c>
      <c r="C21" s="19" t="n">
        <f aca="false">MAX($B$14*12,MAX(0,C20)*$B$15)</f>
        <v>8256.36507692308</v>
      </c>
      <c r="D21" s="19" t="n">
        <f aca="false">MAX($B$14*12,MAX(0,D20)*$B$15)</f>
        <v>9682.52251692308</v>
      </c>
    </row>
    <row r="22" customFormat="false" ht="15" hidden="false" customHeight="false" outlineLevel="0" collapsed="false">
      <c r="A22" s="4" t="s">
        <v>137</v>
      </c>
      <c r="B22" s="19" t="n">
        <f aca="false">INT(MAX(0,B20-B21-$B$7*12*(1+Start!$B$13)^0))</f>
        <v>7407</v>
      </c>
      <c r="C22" s="19" t="n">
        <f aca="false">INT(MAX(0,C20-C21-$B$7*12*(1+Start!$B$13)^1))</f>
        <v>28401</v>
      </c>
      <c r="D22" s="19" t="n">
        <f aca="false">INT(MAX(0,D20-D21-$B$7*12*(1+Start!$B$13)^2))</f>
        <v>33660</v>
      </c>
    </row>
    <row r="23" customFormat="false" ht="15" hidden="false" customHeight="false" outlineLevel="0" collapsed="false">
      <c r="A23" s="4" t="s">
        <v>138</v>
      </c>
      <c r="B23" s="19" t="n">
        <f aca="false">ROUNDDOWN(IF(B22&lt;=$B$35,0,IF(B22&lt;=$B$36,($B$39*(B22-$B$35)/10000+$B$40)*(B22-$B$35)/10000,IF(B22&lt;=$B$37,($B$41*(B22-$B$36)/10000+$B$42)*(B22-$B$36)/10000+$B$43,IF(B22&lt;=$B$38,$B$44*B22-$B$45,$B$46*B22-$B$47)))),0)</f>
        <v>0</v>
      </c>
      <c r="C23" s="19" t="n">
        <f aca="false">ROUNDDOWN(IF(C22&lt;=$B$35,0,IF(C22&lt;=$B$36,($B$39*(C22-$B$35)/10000+$B$40)*(C22-$B$35)/10000,IF(C22&lt;=$B$37,($B$41*(C22-$B$36)/10000+$B$42)*(C22-$B$36)/10000+$B$43,IF(C22&lt;=$B$38,$B$44*C22-$B$45,$B$46*C22-$B$47)))),0)</f>
        <v>3770</v>
      </c>
      <c r="D23" s="19" t="n">
        <f aca="false">ROUNDDOWN(IF(D22&lt;=$B$35,0,IF(D22&lt;=$B$36,($B$39*(D22-$B$35)/10000+$B$40)*(D22-$B$35)/10000,IF(D22&lt;=$B$37,($B$41*(D22-$B$36)/10000+$B$42)*(D22-$B$36)/10000+$B$43,IF(D22&lt;=$B$38,$B$44*D22-$B$45,$B$46*D22-$B$47)))),0)</f>
        <v>5272</v>
      </c>
    </row>
    <row r="24" customFormat="false" ht="15" hidden="false" customHeight="false" outlineLevel="0" collapsed="false">
      <c r="A24" s="4" t="s">
        <v>139</v>
      </c>
      <c r="B24" s="19" t="n">
        <f aca="false">MIN(B23,IF(Start!$B$9&gt;0,MIN(Rentabilität!B14,4*Rentabilität!B14/Start!$B$9),0))</f>
        <v>0</v>
      </c>
      <c r="C24" s="19" t="n">
        <f aca="false">MIN(C23,IF(Start!$B$9&gt;0,MIN(Rentabilität!C14,4*Rentabilität!C14/Start!$B$9),0))</f>
        <v>2366</v>
      </c>
      <c r="D24" s="19" t="n">
        <f aca="false">MIN(D23,IF(Start!$B$9&gt;0,MIN(Rentabilität!D14,4*Rentabilität!D14/Start!$B$9),0))</f>
        <v>3472</v>
      </c>
    </row>
    <row r="25" customFormat="false" ht="15" hidden="false" customHeight="false" outlineLevel="0" collapsed="false">
      <c r="A25" s="4" t="s">
        <v>140</v>
      </c>
      <c r="B25" s="19" t="n">
        <f aca="false">B23-B24+B23*$B$16</f>
        <v>0</v>
      </c>
      <c r="C25" s="19" t="n">
        <f aca="false">C23-C24+C23*$B$16</f>
        <v>1404</v>
      </c>
      <c r="D25" s="19" t="n">
        <f aca="false">D23-D24+D23*$B$16</f>
        <v>1800</v>
      </c>
    </row>
    <row r="26" customFormat="false" ht="15" hidden="false" customHeight="false" outlineLevel="0" collapsed="false">
      <c r="A26" s="20" t="s">
        <v>141</v>
      </c>
      <c r="B26" s="22" t="n">
        <f aca="false">B19+B21+B25</f>
        <v>26760</v>
      </c>
      <c r="C26" s="22" t="n">
        <f aca="false">C19+C21+C25</f>
        <v>33762.3650769231</v>
      </c>
      <c r="D26" s="22" t="n">
        <f aca="false">D19+D21+D25</f>
        <v>36307.5825169231</v>
      </c>
    </row>
    <row r="27" customFormat="false" ht="15" hidden="false" customHeight="false" outlineLevel="0" collapsed="false">
      <c r="A27" s="4" t="s">
        <v>142</v>
      </c>
      <c r="B27" s="10" t="n">
        <v>0</v>
      </c>
      <c r="C27" s="10" t="n">
        <v>0</v>
      </c>
      <c r="D27" s="10" t="n">
        <v>0</v>
      </c>
    </row>
    <row r="28" customFormat="false" ht="15" hidden="false" customHeight="false" outlineLevel="0" collapsed="false">
      <c r="A28" s="20" t="s">
        <v>143</v>
      </c>
      <c r="B28" s="22" t="n">
        <f aca="false">MAX(0,B26-B27)</f>
        <v>26760</v>
      </c>
      <c r="C28" s="22" t="n">
        <f aca="false">MAX(0,C26-C27)</f>
        <v>33762.3650769231</v>
      </c>
      <c r="D28" s="22" t="n">
        <f aca="false">MAX(0,D26-D27)</f>
        <v>36307.5825169231</v>
      </c>
    </row>
    <row r="30" customFormat="false" ht="42" hidden="false" customHeight="true" outlineLevel="0" collapsed="false">
      <c r="A30" s="23" t="s">
        <v>144</v>
      </c>
      <c r="B30" s="23"/>
      <c r="C30" s="23"/>
      <c r="D30" s="23"/>
    </row>
    <row r="31" customFormat="false" ht="54" hidden="false" customHeight="true" outlineLevel="0" collapsed="false">
      <c r="A31" s="23" t="s">
        <v>145</v>
      </c>
      <c r="B31" s="23"/>
      <c r="C31" s="23"/>
      <c r="D31" s="23"/>
    </row>
    <row r="33" customFormat="false" ht="23.85" hidden="false" customHeight="false" outlineLevel="0" collapsed="false">
      <c r="A33" s="17" t="s">
        <v>146</v>
      </c>
      <c r="B33" s="17" t="s">
        <v>147</v>
      </c>
      <c r="C33" s="17" t="s">
        <v>116</v>
      </c>
    </row>
    <row r="35" customFormat="false" ht="39.75" hidden="false" customHeight="true" outlineLevel="0" collapsed="false">
      <c r="A35" s="4" t="s">
        <v>148</v>
      </c>
      <c r="B35" s="26" t="n">
        <v>12348</v>
      </c>
      <c r="C35" s="23" t="s">
        <v>149</v>
      </c>
      <c r="D35" s="23"/>
    </row>
    <row r="36" customFormat="false" ht="15" hidden="false" customHeight="false" outlineLevel="0" collapsed="false">
      <c r="A36" s="4" t="s">
        <v>150</v>
      </c>
      <c r="B36" s="26" t="n">
        <v>17799</v>
      </c>
      <c r="C36" s="23"/>
      <c r="D36" s="23"/>
    </row>
    <row r="37" customFormat="false" ht="15" hidden="false" customHeight="false" outlineLevel="0" collapsed="false">
      <c r="A37" s="4" t="s">
        <v>151</v>
      </c>
      <c r="B37" s="26" t="n">
        <v>69878</v>
      </c>
      <c r="C37" s="23"/>
      <c r="D37" s="23"/>
    </row>
    <row r="38" customFormat="false" ht="15" hidden="false" customHeight="false" outlineLevel="0" collapsed="false">
      <c r="A38" s="4" t="s">
        <v>152</v>
      </c>
      <c r="B38" s="26" t="n">
        <v>277825</v>
      </c>
    </row>
    <row r="39" customFormat="false" ht="15" hidden="false" customHeight="false" outlineLevel="0" collapsed="false">
      <c r="A39" s="4" t="s">
        <v>153</v>
      </c>
      <c r="B39" s="26" t="n">
        <v>914.51</v>
      </c>
    </row>
    <row r="40" customFormat="false" ht="15" hidden="false" customHeight="false" outlineLevel="0" collapsed="false">
      <c r="A40" s="4" t="s">
        <v>154</v>
      </c>
      <c r="B40" s="26" t="n">
        <v>1400</v>
      </c>
    </row>
    <row r="41" customFormat="false" ht="15" hidden="false" customHeight="false" outlineLevel="0" collapsed="false">
      <c r="A41" s="4" t="s">
        <v>155</v>
      </c>
      <c r="B41" s="26" t="n">
        <v>173.1</v>
      </c>
    </row>
    <row r="42" customFormat="false" ht="15" hidden="false" customHeight="false" outlineLevel="0" collapsed="false">
      <c r="A42" s="4" t="s">
        <v>156</v>
      </c>
      <c r="B42" s="26" t="n">
        <v>2397</v>
      </c>
    </row>
    <row r="43" customFormat="false" ht="15" hidden="false" customHeight="false" outlineLevel="0" collapsed="false">
      <c r="A43" s="4" t="s">
        <v>157</v>
      </c>
      <c r="B43" s="26" t="n">
        <v>1034.87</v>
      </c>
    </row>
    <row r="44" customFormat="false" ht="15" hidden="false" customHeight="false" outlineLevel="0" collapsed="false">
      <c r="A44" s="4" t="s">
        <v>158</v>
      </c>
      <c r="B44" s="26" t="n">
        <v>0.42</v>
      </c>
    </row>
    <row r="45" customFormat="false" ht="15" hidden="false" customHeight="false" outlineLevel="0" collapsed="false">
      <c r="A45" s="4" t="s">
        <v>159</v>
      </c>
      <c r="B45" s="26" t="n">
        <v>11135.63</v>
      </c>
    </row>
    <row r="46" customFormat="false" ht="15" hidden="false" customHeight="false" outlineLevel="0" collapsed="false">
      <c r="A46" s="4" t="s">
        <v>160</v>
      </c>
      <c r="B46" s="26" t="n">
        <v>0.45</v>
      </c>
    </row>
    <row r="47" customFormat="false" ht="15" hidden="false" customHeight="false" outlineLevel="0" collapsed="false">
      <c r="A47" s="4" t="s">
        <v>161</v>
      </c>
      <c r="B47" s="26" t="n">
        <v>19470.38</v>
      </c>
    </row>
  </sheetData>
  <sheetProtection sheet="true" formatCells="false" formatColumns="false" formatRows="false"/>
  <mergeCells count="12">
    <mergeCell ref="C5:F5"/>
    <mergeCell ref="C6:F6"/>
    <mergeCell ref="C7:F7"/>
    <mergeCell ref="C8:F8"/>
    <mergeCell ref="C9:F9"/>
    <mergeCell ref="C10:F10"/>
    <mergeCell ref="C14:F14"/>
    <mergeCell ref="C15:F15"/>
    <mergeCell ref="C16:F16"/>
    <mergeCell ref="A30:D30"/>
    <mergeCell ref="A31:D31"/>
    <mergeCell ref="C35:D37"/>
  </mergeCells>
  <dataValidations count="3">
    <dataValidation allowBlank="true" error="Bitte einen Wert von 0 bis 0.3 eingeben." errorStyle="stop" operator="between" showDropDown="false" showErrorMessage="true" showInputMessage="false" sqref="B15" type="decimal">
      <formula1>0</formula1>
      <formula2>0.3</formula2>
    </dataValidation>
    <dataValidation allowBlank="true" error="Bitte einen Betrag ab 0 eingeben." errorStyle="stop" operator="greaterThanOrEqual" showDropDown="false" showErrorMessage="true" showInputMessage="false" sqref="B5:B10 B14 B27:D27" type="decimal">
      <formula1>0</formula1>
      <formula2>0</formula2>
    </dataValidation>
    <dataValidation allowBlank="true" error="Bitte einen Wert von 0 bis 0.09 eingeben." errorStyle="stop" operator="between" showDropDown="false" showErrorMessage="true" showInputMessage="false" sqref="B16" type="decimal">
      <formula1>0</formula1>
      <formula2>0.09</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Vorlage: arbeitdigital.de/gruenden/finanzplan/ · für den eigenen Plan frei nutzbar, Fußzeile darf entfernt werden&amp;R&amp;8 &amp;A · Seite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5"/>
    <col collapsed="false" customWidth="true" hidden="false" outlineLevel="0" max="7" min="3" style="0" width="13"/>
    <col collapsed="false" customWidth="true" hidden="false" outlineLevel="0" max="8" min="8" style="0" width="64"/>
  </cols>
  <sheetData>
    <row r="1" customFormat="false" ht="17.35" hidden="false" customHeight="false" outlineLevel="0" collapsed="false">
      <c r="A1" s="1" t="s">
        <v>162</v>
      </c>
    </row>
    <row r="2" customFormat="false" ht="15" hidden="false" customHeight="false" outlineLevel="0" collapsed="false">
      <c r="A2" s="15" t="s">
        <v>163</v>
      </c>
    </row>
    <row r="4" customFormat="false" ht="23.85" hidden="false" customHeight="false" outlineLevel="0" collapsed="false">
      <c r="A4" s="17" t="s">
        <v>164</v>
      </c>
      <c r="B4" s="17" t="s">
        <v>165</v>
      </c>
      <c r="C4" s="17" t="s">
        <v>166</v>
      </c>
      <c r="D4" s="17" t="s">
        <v>167</v>
      </c>
      <c r="E4" s="17" t="s">
        <v>168</v>
      </c>
      <c r="F4" s="17" t="s">
        <v>169</v>
      </c>
      <c r="G4" s="17" t="s">
        <v>170</v>
      </c>
      <c r="H4" s="17" t="s">
        <v>116</v>
      </c>
    </row>
    <row r="5" customFormat="false" ht="15" hidden="false" customHeight="false" outlineLevel="0" collapsed="false">
      <c r="A5" s="3" t="s">
        <v>171</v>
      </c>
    </row>
    <row r="6" customFormat="false" ht="15" hidden="false" customHeight="true" outlineLevel="0" collapsed="false">
      <c r="A6" s="5" t="s">
        <v>172</v>
      </c>
      <c r="B6" s="10" t="n">
        <v>3500</v>
      </c>
      <c r="C6" s="9" t="n">
        <v>1</v>
      </c>
      <c r="D6" s="9" t="n">
        <v>1</v>
      </c>
      <c r="E6" s="19" t="n">
        <f aca="false">IF(AND($B6&gt;0,ISNUMBER($C6),$C6&gt;0,1&gt;=MAX(1,$D6),1&lt;MAX(1,$D6)+$C6),$B6/$C6,0)</f>
        <v>3500</v>
      </c>
      <c r="F6" s="19" t="n">
        <f aca="false">IF(AND($B6&gt;0,ISNUMBER($C6),$C6&gt;0,2&gt;=MAX(1,$D6),2&lt;MAX(1,$D6)+$C6),$B6/$C6,0)</f>
        <v>0</v>
      </c>
      <c r="G6" s="19" t="n">
        <f aca="false">IF(AND($B6&gt;0,ISNUMBER($C6),$C6&gt;0,3&gt;=MAX(1,$D6),3&lt;MAX(1,$D6)+$C6),$B6/$C6,0)</f>
        <v>0</v>
      </c>
      <c r="H6" s="23" t="s">
        <v>173</v>
      </c>
    </row>
    <row r="7" customFormat="false" ht="15" hidden="false" customHeight="false" outlineLevel="0" collapsed="false">
      <c r="A7" s="5" t="s">
        <v>174</v>
      </c>
      <c r="B7" s="10" t="n">
        <v>2500</v>
      </c>
      <c r="C7" s="9" t="n">
        <v>13</v>
      </c>
      <c r="D7" s="9" t="n">
        <v>1</v>
      </c>
      <c r="E7" s="19" t="n">
        <f aca="false">IF(AND($B7&gt;0,ISNUMBER($C7),$C7&gt;0,1&gt;=MAX(1,$D7),1&lt;MAX(1,$D7)+$C7),$B7/$C7,0)</f>
        <v>192.307692307692</v>
      </c>
      <c r="F7" s="19" t="n">
        <f aca="false">IF(AND($B7&gt;0,ISNUMBER($C7),$C7&gt;0,2&gt;=MAX(1,$D7),2&lt;MAX(1,$D7)+$C7),$B7/$C7,0)</f>
        <v>192.307692307692</v>
      </c>
      <c r="G7" s="19" t="n">
        <f aca="false">IF(AND($B7&gt;0,ISNUMBER($C7),$C7&gt;0,3&gt;=MAX(1,$D7),3&lt;MAX(1,$D7)+$C7),$B7/$C7,0)</f>
        <v>192.307692307692</v>
      </c>
      <c r="H7" s="23"/>
    </row>
    <row r="8" customFormat="false" ht="15" hidden="false" customHeight="false" outlineLevel="0" collapsed="false">
      <c r="A8" s="5" t="s">
        <v>175</v>
      </c>
      <c r="B8" s="10" t="n">
        <v>0</v>
      </c>
      <c r="C8" s="9"/>
      <c r="D8" s="9" t="n">
        <v>1</v>
      </c>
      <c r="E8" s="19" t="n">
        <f aca="false">IF(AND($B8&gt;0,ISNUMBER($C8),$C8&gt;0,1&gt;=MAX(1,$D8),1&lt;MAX(1,$D8)+$C8),$B8/$C8,0)</f>
        <v>0</v>
      </c>
      <c r="F8" s="19" t="n">
        <f aca="false">IF(AND($B8&gt;0,ISNUMBER($C8),$C8&gt;0,2&gt;=MAX(1,$D8),2&lt;MAX(1,$D8)+$C8),$B8/$C8,0)</f>
        <v>0</v>
      </c>
      <c r="G8" s="19" t="n">
        <f aca="false">IF(AND($B8&gt;0,ISNUMBER($C8),$C8&gt;0,3&gt;=MAX(1,$D8),3&lt;MAX(1,$D8)+$C8),$B8/$C8,0)</f>
        <v>0</v>
      </c>
      <c r="H8" s="23"/>
    </row>
    <row r="9" customFormat="false" ht="15" hidden="false" customHeight="false" outlineLevel="0" collapsed="false">
      <c r="A9" s="5" t="s">
        <v>176</v>
      </c>
      <c r="B9" s="10" t="n">
        <v>0</v>
      </c>
      <c r="C9" s="9"/>
      <c r="D9" s="9" t="n">
        <v>1</v>
      </c>
      <c r="E9" s="19" t="n">
        <f aca="false">IF(AND($B9&gt;0,ISNUMBER($C9),$C9&gt;0,1&gt;=MAX(1,$D9),1&lt;MAX(1,$D9)+$C9),$B9/$C9,0)</f>
        <v>0</v>
      </c>
      <c r="F9" s="19" t="n">
        <f aca="false">IF(AND($B9&gt;0,ISNUMBER($C9),$C9&gt;0,2&gt;=MAX(1,$D9),2&lt;MAX(1,$D9)+$C9),$B9/$C9,0)</f>
        <v>0</v>
      </c>
      <c r="G9" s="19" t="n">
        <f aca="false">IF(AND($B9&gt;0,ISNUMBER($C9),$C9&gt;0,3&gt;=MAX(1,$D9),3&lt;MAX(1,$D9)+$C9),$B9/$C9,0)</f>
        <v>0</v>
      </c>
      <c r="H9" s="23"/>
    </row>
    <row r="10" customFormat="false" ht="15" hidden="false" customHeight="false" outlineLevel="0" collapsed="false">
      <c r="A10" s="5" t="s">
        <v>177</v>
      </c>
      <c r="B10" s="10" t="n">
        <v>0</v>
      </c>
      <c r="C10" s="9"/>
      <c r="D10" s="9" t="n">
        <v>1</v>
      </c>
      <c r="E10" s="19" t="n">
        <f aca="false">IF(AND($B10&gt;0,ISNUMBER($C10),$C10&gt;0,1&gt;=MAX(1,$D10),1&lt;MAX(1,$D10)+$C10),$B10/$C10,0)</f>
        <v>0</v>
      </c>
      <c r="F10" s="19" t="n">
        <f aca="false">IF(AND($B10&gt;0,ISNUMBER($C10),$C10&gt;0,2&gt;=MAX(1,$D10),2&lt;MAX(1,$D10)+$C10),$B10/$C10,0)</f>
        <v>0</v>
      </c>
      <c r="G10" s="19" t="n">
        <f aca="false">IF(AND($B10&gt;0,ISNUMBER($C10),$C10&gt;0,3&gt;=MAX(1,$D10),3&lt;MAX(1,$D10)+$C10),$B10/$C10,0)</f>
        <v>0</v>
      </c>
      <c r="H10" s="23"/>
    </row>
    <row r="11" customFormat="false" ht="15" hidden="false" customHeight="false" outlineLevel="0" collapsed="false">
      <c r="A11" s="20" t="s">
        <v>178</v>
      </c>
      <c r="B11" s="22" t="n">
        <f aca="false">SUMPRODUCT(B6:B10*(D6:D10&lt;=1))</f>
        <v>6000</v>
      </c>
      <c r="C11" s="21"/>
      <c r="D11" s="21"/>
      <c r="E11" s="22" t="n">
        <f aca="false">SUM(E6:E10)</f>
        <v>3692.30769230769</v>
      </c>
      <c r="F11" s="22" t="n">
        <f aca="false">SUM(F6:F10)</f>
        <v>192.307692307692</v>
      </c>
      <c r="G11" s="22" t="n">
        <f aca="false">SUM(G6:G10)</f>
        <v>192.307692307692</v>
      </c>
      <c r="H11" s="21"/>
    </row>
    <row r="12" customFormat="false" ht="15" hidden="false" customHeight="false" outlineLevel="0" collapsed="false">
      <c r="A12" s="4" t="s">
        <v>179</v>
      </c>
      <c r="B12" s="19" t="n">
        <f aca="false">SUMIF(D6:D10,2,B6:B10)</f>
        <v>0</v>
      </c>
      <c r="C12" s="19" t="n">
        <f aca="false">SUMIF(D6:D10,3,B6:B10)</f>
        <v>0</v>
      </c>
    </row>
    <row r="14" customFormat="false" ht="15" hidden="false" customHeight="false" outlineLevel="0" collapsed="false">
      <c r="A14" s="3" t="s">
        <v>180</v>
      </c>
    </row>
    <row r="15" customFormat="false" ht="15" hidden="false" customHeight="false" outlineLevel="0" collapsed="false">
      <c r="A15" s="5" t="s">
        <v>181</v>
      </c>
      <c r="B15" s="10" t="n">
        <v>1500</v>
      </c>
    </row>
    <row r="16" customFormat="false" ht="15" hidden="false" customHeight="false" outlineLevel="0" collapsed="false">
      <c r="A16" s="5" t="s">
        <v>182</v>
      </c>
      <c r="B16" s="10" t="n">
        <v>0</v>
      </c>
    </row>
    <row r="17" customFormat="false" ht="15" hidden="false" customHeight="false" outlineLevel="0" collapsed="false">
      <c r="A17" s="5" t="s">
        <v>183</v>
      </c>
      <c r="B17" s="10" t="n">
        <v>0</v>
      </c>
    </row>
    <row r="18" customFormat="false" ht="15" hidden="false" customHeight="false" outlineLevel="0" collapsed="false">
      <c r="A18" s="20" t="s">
        <v>184</v>
      </c>
      <c r="B18" s="22" t="n">
        <f aca="false">SUM(B15:B17)</f>
        <v>1500</v>
      </c>
      <c r="C18" s="21"/>
      <c r="D18" s="21"/>
      <c r="E18" s="21"/>
      <c r="F18" s="21"/>
      <c r="G18" s="21"/>
      <c r="H18" s="21"/>
    </row>
    <row r="20" customFormat="false" ht="15" hidden="false" customHeight="false" outlineLevel="0" collapsed="false">
      <c r="A20" s="3" t="s">
        <v>185</v>
      </c>
    </row>
    <row r="21" customFormat="false" ht="15" hidden="false" customHeight="false" outlineLevel="0" collapsed="false">
      <c r="A21" s="5" t="s">
        <v>186</v>
      </c>
      <c r="B21" s="10" t="n">
        <v>2000</v>
      </c>
    </row>
    <row r="22" customFormat="false" ht="15" hidden="false" customHeight="false" outlineLevel="0" collapsed="false">
      <c r="A22" s="5" t="s">
        <v>187</v>
      </c>
      <c r="B22" s="10" t="n">
        <v>0</v>
      </c>
      <c r="H22" s="6" t="s">
        <v>188</v>
      </c>
    </row>
    <row r="23" customFormat="false" ht="15" hidden="false" customHeight="false" outlineLevel="0" collapsed="false">
      <c r="A23" s="5" t="s">
        <v>189</v>
      </c>
      <c r="B23" s="10" t="n">
        <v>0</v>
      </c>
      <c r="H23" s="6" t="s">
        <v>190</v>
      </c>
    </row>
    <row r="24" customFormat="false" ht="15" hidden="false" customHeight="false" outlineLevel="0" collapsed="false">
      <c r="A24" s="20" t="s">
        <v>191</v>
      </c>
      <c r="B24" s="22" t="n">
        <f aca="false">SUM(B21:B23)</f>
        <v>2000</v>
      </c>
      <c r="C24" s="21"/>
      <c r="D24" s="21"/>
      <c r="E24" s="21"/>
      <c r="F24" s="21"/>
      <c r="G24" s="21"/>
      <c r="H24" s="21"/>
    </row>
    <row r="26" customFormat="false" ht="51.75" hidden="false" customHeight="true" outlineLevel="0" collapsed="false">
      <c r="A26" s="3" t="s">
        <v>192</v>
      </c>
      <c r="B26" s="10" t="n">
        <v>9000</v>
      </c>
      <c r="C26" s="3" t="s">
        <v>193</v>
      </c>
      <c r="D26" s="25" t="n">
        <f aca="false">Liquidität!B37</f>
        <v>8336.4</v>
      </c>
      <c r="H26" s="6" t="s">
        <v>194</v>
      </c>
    </row>
    <row r="27" customFormat="false" ht="39.75" hidden="false" customHeight="true" outlineLevel="0" collapsed="false">
      <c r="A27" s="3" t="s">
        <v>195</v>
      </c>
      <c r="B27" s="10" t="n">
        <v>3500</v>
      </c>
      <c r="H27" s="6" t="s">
        <v>196</v>
      </c>
    </row>
    <row r="29" customFormat="false" ht="15" hidden="false" customHeight="false" outlineLevel="0" collapsed="false">
      <c r="A29" s="20" t="s">
        <v>197</v>
      </c>
      <c r="B29" s="22" t="n">
        <f aca="false">B11+B18+B24+B26+B27</f>
        <v>22000</v>
      </c>
      <c r="C29" s="21"/>
      <c r="D29" s="21"/>
      <c r="E29" s="21"/>
      <c r="F29" s="21"/>
      <c r="G29" s="21"/>
      <c r="H29" s="21"/>
    </row>
  </sheetData>
  <sheetProtection sheet="true" formatCells="false" formatColumns="false" formatRows="false"/>
  <mergeCells count="1">
    <mergeCell ref="H6:H10"/>
  </mergeCells>
  <dataValidations count="3">
    <dataValidation allowBlank="true" error="Bitte einen Betrag ab 0 eingeben." errorStyle="stop" operator="greaterThanOrEqual" showDropDown="false" showErrorMessage="true" showInputMessage="false" sqref="B6:B10 B15:B17 B21:B23 B26:B27" type="decimal">
      <formula1>0</formula1>
      <formula2>0</formula2>
    </dataValidation>
    <dataValidation allowBlank="true" error="Bitte einen Wert von 1 bis 50 eingeben." errorStyle="stop" operator="between" showDropDown="false" showErrorMessage="true" showInputMessage="false" sqref="C6:C10" type="whole">
      <formula1>1</formula1>
      <formula2>50</formula2>
    </dataValidation>
    <dataValidation allowBlank="true" error="Bitte einen Wert von 1 bis 3 eingeben." errorStyle="stop" operator="between" showDropDown="false" showErrorMessage="true" showInputMessage="false" sqref="D6:D10" type="whole">
      <formula1>1</formula1>
      <formula2>3</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Vorlage: arbeitdigital.de/gruenden/finanzplan/ · für den eigenen Plan frei nutzbar, Fußzeile darf entfernt werden&amp;R&amp;8 &amp;A · Seite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5" min="2" style="0" width="14"/>
    <col collapsed="false" customWidth="true" hidden="false" outlineLevel="0" max="6" min="6" style="0" width="16"/>
    <col collapsed="false" customWidth="true" hidden="false" outlineLevel="0" max="7" min="7" style="0" width="58"/>
  </cols>
  <sheetData>
    <row r="1" customFormat="false" ht="17.35" hidden="false" customHeight="false" outlineLevel="0" collapsed="false">
      <c r="A1" s="1" t="s">
        <v>198</v>
      </c>
    </row>
    <row r="2" customFormat="false" ht="15" hidden="false" customHeight="false" outlineLevel="0" collapsed="false">
      <c r="A2" s="15" t="s">
        <v>199</v>
      </c>
    </row>
    <row r="4" customFormat="false" ht="23.85" hidden="false" customHeight="false" outlineLevel="0" collapsed="false">
      <c r="A4" s="17" t="s">
        <v>200</v>
      </c>
      <c r="B4" s="17" t="s">
        <v>201</v>
      </c>
      <c r="C4" s="17" t="s">
        <v>202</v>
      </c>
      <c r="D4" s="17" t="s">
        <v>203</v>
      </c>
      <c r="E4" s="17" t="s">
        <v>204</v>
      </c>
      <c r="F4" s="17" t="s">
        <v>205</v>
      </c>
      <c r="G4" s="17" t="s">
        <v>116</v>
      </c>
    </row>
    <row r="5" customFormat="false" ht="15" hidden="false" customHeight="false" outlineLevel="0" collapsed="false">
      <c r="A5" s="4" t="s">
        <v>206</v>
      </c>
      <c r="B5" s="10" t="n">
        <v>10000</v>
      </c>
    </row>
    <row r="6" customFormat="false" ht="22.35" hidden="false" customHeight="false" outlineLevel="0" collapsed="false">
      <c r="A6" s="5" t="s">
        <v>207</v>
      </c>
      <c r="B6" s="10" t="n">
        <v>12000</v>
      </c>
      <c r="C6" s="8" t="n">
        <v>0.05</v>
      </c>
      <c r="D6" s="9" t="n">
        <v>5</v>
      </c>
      <c r="E6" s="9" t="n">
        <v>1</v>
      </c>
      <c r="F6" s="5" t="s">
        <v>208</v>
      </c>
      <c r="G6" s="6" t="s">
        <v>209</v>
      </c>
    </row>
    <row r="7" customFormat="false" ht="15" hidden="false" customHeight="false" outlineLevel="0" collapsed="false">
      <c r="A7" s="5" t="s">
        <v>210</v>
      </c>
      <c r="B7" s="10" t="n">
        <v>0</v>
      </c>
      <c r="C7" s="8" t="n">
        <v>0</v>
      </c>
      <c r="D7" s="9" t="n">
        <v>0</v>
      </c>
      <c r="E7" s="9" t="n">
        <v>0</v>
      </c>
      <c r="F7" s="5" t="s">
        <v>208</v>
      </c>
    </row>
    <row r="8" customFormat="false" ht="22.35" hidden="false" customHeight="false" outlineLevel="0" collapsed="false">
      <c r="A8" s="4" t="s">
        <v>211</v>
      </c>
      <c r="B8" s="10" t="n">
        <v>0</v>
      </c>
      <c r="G8" s="6" t="s">
        <v>212</v>
      </c>
    </row>
    <row r="10" customFormat="false" ht="15" hidden="false" customHeight="false" outlineLevel="0" collapsed="false">
      <c r="A10" s="20" t="s">
        <v>213</v>
      </c>
      <c r="B10" s="22" t="n">
        <f aca="false">SUM(B5:B8)</f>
        <v>22000</v>
      </c>
      <c r="C10" s="21"/>
      <c r="D10" s="21"/>
      <c r="E10" s="21"/>
      <c r="F10" s="21"/>
      <c r="G10" s="21"/>
    </row>
    <row r="11" customFormat="false" ht="15" hidden="false" customHeight="false" outlineLevel="0" collapsed="false">
      <c r="A11" s="4" t="s">
        <v>214</v>
      </c>
      <c r="B11" s="25" t="n">
        <f aca="false">Kapitalbedarf!B29</f>
        <v>22000</v>
      </c>
    </row>
    <row r="12" customFormat="false" ht="15" hidden="false" customHeight="false" outlineLevel="0" collapsed="false">
      <c r="A12" s="4" t="s">
        <v>215</v>
      </c>
      <c r="B12" s="19" t="n">
        <f aca="false">B10-B11</f>
        <v>0</v>
      </c>
      <c r="C12" s="3" t="str">
        <f aca="false">IF(ROUND(B12,0)=0,"passt",IF(B12&lt;0,"Finanzierungslücke","mehr Mittel als Bedarf"))</f>
        <v>passt</v>
      </c>
    </row>
    <row r="13" customFormat="false" ht="15" hidden="false" customHeight="false" outlineLevel="0" collapsed="false">
      <c r="A13" s="4" t="s">
        <v>216</v>
      </c>
      <c r="B13" s="12" t="n">
        <f aca="false">IF(B10=0,0,B5/B10)</f>
        <v>0.454545454545455</v>
      </c>
    </row>
    <row r="15" customFormat="false" ht="15" hidden="false" customHeight="false" outlineLevel="0" collapsed="false">
      <c r="A15" s="17" t="s">
        <v>217</v>
      </c>
      <c r="B15" s="17" t="s">
        <v>60</v>
      </c>
      <c r="C15" s="17" t="s">
        <v>61</v>
      </c>
      <c r="D15" s="17" t="s">
        <v>62</v>
      </c>
    </row>
    <row r="16" customFormat="false" ht="15" hidden="false" customHeight="false" outlineLevel="0" collapsed="false">
      <c r="A16" s="4" t="s">
        <v>218</v>
      </c>
      <c r="B16" s="19" t="n">
        <f aca="false">$B6</f>
        <v>12000</v>
      </c>
      <c r="C16" s="19" t="n">
        <f aca="false">MAX(0,B16-B18)</f>
        <v>12000</v>
      </c>
      <c r="D16" s="19" t="n">
        <f aca="false">MAX(0,C16-C18)</f>
        <v>9000</v>
      </c>
    </row>
    <row r="17" customFormat="false" ht="15" hidden="false" customHeight="false" outlineLevel="0" collapsed="false">
      <c r="A17" s="4" t="s">
        <v>219</v>
      </c>
      <c r="B17" s="19" t="n">
        <f aca="false">$B7</f>
        <v>0</v>
      </c>
      <c r="C17" s="19" t="n">
        <f aca="false">MAX(0,B17-B19)</f>
        <v>0</v>
      </c>
      <c r="D17" s="19" t="n">
        <f aca="false">MAX(0,C17-C19)</f>
        <v>0</v>
      </c>
    </row>
    <row r="18" customFormat="false" ht="15" hidden="false" customHeight="false" outlineLevel="0" collapsed="false">
      <c r="A18" s="4" t="s">
        <v>220</v>
      </c>
      <c r="B18" s="19" t="n">
        <f aca="false">IF(AND($B6&gt;0,$D6&gt;$E6,1&gt;$E6,1&lt;=$D6),MIN(B16,IF($F6="Annuität",IF($C6&gt;0,$B6*$C6/(1-(1+$C6)^-($D6-$E6)),$B6/($D6-$E6))-B20,$B6/($D6-$E6))),0)</f>
        <v>0</v>
      </c>
      <c r="C18" s="19" t="n">
        <f aca="false">IF(AND($B6&gt;0,$D6&gt;$E6,2&gt;$E6,2&lt;=$D6),MIN(C16,IF($F6="Annuität",IF($C6&gt;0,$B6*$C6/(1-(1+$C6)^-($D6-$E6)),$B6/($D6-$E6))-C20,$B6/($D6-$E6))),0)</f>
        <v>3000</v>
      </c>
      <c r="D18" s="19" t="n">
        <f aca="false">IF(AND($B6&gt;0,$D6&gt;$E6,3&gt;$E6,3&lt;=$D6),MIN(D16,IF($F6="Annuität",IF($C6&gt;0,$B6*$C6/(1-(1+$C6)^-($D6-$E6)),$B6/($D6-$E6))-D20,$B6/($D6-$E6))),0)</f>
        <v>3000</v>
      </c>
    </row>
    <row r="19" customFormat="false" ht="15" hidden="false" customHeight="false" outlineLevel="0" collapsed="false">
      <c r="A19" s="4" t="s">
        <v>221</v>
      </c>
      <c r="B19" s="19" t="n">
        <f aca="false">IF(AND($B7&gt;0,$D7&gt;$E7,1&gt;$E7,1&lt;=$D7),MIN(B17,IF($F7="Annuität",IF($C7&gt;0,$B7*$C7/(1-(1+$C7)^-($D7-$E7)),$B7/($D7-$E7))-B21,$B7/($D7-$E7))),0)</f>
        <v>0</v>
      </c>
      <c r="C19" s="19" t="n">
        <f aca="false">IF(AND($B7&gt;0,$D7&gt;$E7,2&gt;$E7,2&lt;=$D7),MIN(C17,IF($F7="Annuität",IF($C7&gt;0,$B7*$C7/(1-(1+$C7)^-($D7-$E7)),$B7/($D7-$E7))-C21,$B7/($D7-$E7))),0)</f>
        <v>0</v>
      </c>
      <c r="D19" s="19" t="n">
        <f aca="false">IF(AND($B7&gt;0,$D7&gt;$E7,3&gt;$E7,3&lt;=$D7),MIN(D17,IF($F7="Annuität",IF($C7&gt;0,$B7*$C7/(1-(1+$C7)^-($D7-$E7)),$B7/($D7-$E7))-D21,$B7/($D7-$E7))),0)</f>
        <v>0</v>
      </c>
    </row>
    <row r="20" customFormat="false" ht="15" hidden="false" customHeight="false" outlineLevel="0" collapsed="false">
      <c r="A20" s="4" t="s">
        <v>222</v>
      </c>
      <c r="B20" s="19" t="n">
        <f aca="false">B16*$C6</f>
        <v>600</v>
      </c>
      <c r="C20" s="19" t="n">
        <f aca="false">C16*$C6</f>
        <v>600</v>
      </c>
      <c r="D20" s="19" t="n">
        <f aca="false">D16*$C6</f>
        <v>450</v>
      </c>
    </row>
    <row r="21" customFormat="false" ht="15" hidden="false" customHeight="false" outlineLevel="0" collapsed="false">
      <c r="A21" s="4" t="s">
        <v>223</v>
      </c>
      <c r="B21" s="19" t="n">
        <f aca="false">B17*$C7</f>
        <v>0</v>
      </c>
      <c r="C21" s="19" t="n">
        <f aca="false">C17*$C7</f>
        <v>0</v>
      </c>
      <c r="D21" s="19" t="n">
        <f aca="false">D17*$C7</f>
        <v>0</v>
      </c>
    </row>
    <row r="22" customFormat="false" ht="15" hidden="false" customHeight="false" outlineLevel="0" collapsed="false">
      <c r="A22" s="20" t="s">
        <v>224</v>
      </c>
      <c r="B22" s="22" t="n">
        <f aca="false">B20+B21</f>
        <v>600</v>
      </c>
      <c r="C22" s="22" t="n">
        <f aca="false">C20+C21</f>
        <v>600</v>
      </c>
      <c r="D22" s="22" t="n">
        <f aca="false">D20+D21</f>
        <v>450</v>
      </c>
    </row>
    <row r="23" customFormat="false" ht="15" hidden="false" customHeight="false" outlineLevel="0" collapsed="false">
      <c r="A23" s="20" t="s">
        <v>225</v>
      </c>
      <c r="B23" s="22" t="n">
        <f aca="false">B18+B19</f>
        <v>0</v>
      </c>
      <c r="C23" s="22" t="n">
        <f aca="false">C18+C19</f>
        <v>3000</v>
      </c>
      <c r="D23" s="22" t="n">
        <f aca="false">D18+D19</f>
        <v>3000</v>
      </c>
    </row>
    <row r="25" customFormat="false" ht="27.75" hidden="false" customHeight="true" outlineLevel="0" collapsed="false">
      <c r="A25" s="23" t="s">
        <v>226</v>
      </c>
      <c r="B25" s="23"/>
      <c r="C25" s="23"/>
      <c r="D25" s="23"/>
      <c r="E25" s="23"/>
      <c r="F25" s="23"/>
      <c r="G25" s="23"/>
    </row>
  </sheetData>
  <sheetProtection sheet="true" formatCells="false" formatColumns="false" formatRows="false"/>
  <mergeCells count="1">
    <mergeCell ref="A25:G25"/>
  </mergeCells>
  <dataValidations count="6">
    <dataValidation allowBlank="true" error="Bitte einen Wert von 0 bis 0.3 eingeben." errorStyle="stop" operator="between" showDropDown="false" showErrorMessage="true" showInputMessage="false" sqref="C6:C7" type="decimal">
      <formula1>0</formula1>
      <formula2>0.3</formula2>
    </dataValidation>
    <dataValidation allowBlank="true" error="Bitte einen Betrag ab 0 eingeben." errorStyle="stop" operator="greaterThanOrEqual" showDropDown="false" showErrorMessage="true" showInputMessage="false" sqref="B5:B8" type="decimal">
      <formula1>0</formula1>
      <formula2>0</formula2>
    </dataValidation>
    <dataValidation allowBlank="true" error="Bitte einen Wert von 0 bis 30 eingeben." errorStyle="stop" operator="between" showDropDown="false" showErrorMessage="true" showInputMessage="false" sqref="D6:D7" type="whole">
      <formula1>0</formula1>
      <formula2>30</formula2>
    </dataValidation>
    <dataValidation allowBlank="true" error="Bitte einen Wert von 0 bis 10 eingeben." errorStyle="stop" operator="between" showDropDown="false" showErrorMessage="true" showInputMessage="false" sqref="E6:E7" type="whole">
      <formula1>0</formula1>
      <formula2>10</formula2>
    </dataValidation>
    <dataValidation allowBlank="false" error="Bitte einen Wert aus der Liste wählen." errorStyle="stop" operator="between" showDropDown="false" showErrorMessage="true" showInputMessage="false" sqref="F6" type="list">
      <formula1>"gleiche Tilgung,Annuität"</formula1>
      <formula2>0</formula2>
    </dataValidation>
    <dataValidation allowBlank="false" error="Bitte einen Wert aus der Liste wählen." errorStyle="stop" operator="between" showDropDown="false" showErrorMessage="true" showInputMessage="false" sqref="F7" type="list">
      <formula1>"gleiche Tilgung,Annuität"</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Vorlage: arbeitdigital.de/gruenden/finanzplan/ · für den eigenen Plan frei nutzbar, Fußzeile darf entfernt werden&amp;R&amp;8 &amp;A · Seite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4" min="2" style="0" width="16"/>
  </cols>
  <sheetData>
    <row r="1" customFormat="false" ht="17.35" hidden="false" customHeight="false" outlineLevel="0" collapsed="false">
      <c r="A1" s="1" t="s">
        <v>227</v>
      </c>
    </row>
    <row r="2" customFormat="false" ht="15" hidden="false" customHeight="false" outlineLevel="0" collapsed="false">
      <c r="A2" s="15" t="s">
        <v>228</v>
      </c>
    </row>
    <row r="4" customFormat="false" ht="15" hidden="false" customHeight="false" outlineLevel="0" collapsed="false">
      <c r="A4" s="17" t="s">
        <v>164</v>
      </c>
      <c r="B4" s="17" t="s">
        <v>60</v>
      </c>
      <c r="C4" s="17" t="s">
        <v>61</v>
      </c>
      <c r="D4" s="17" t="s">
        <v>62</v>
      </c>
    </row>
    <row r="5" customFormat="false" ht="15" hidden="false" customHeight="false" outlineLevel="0" collapsed="false">
      <c r="A5" s="4" t="s">
        <v>229</v>
      </c>
      <c r="B5" s="25" t="n">
        <f aca="false">Umsatz!O18</f>
        <v>44200</v>
      </c>
      <c r="C5" s="25" t="n">
        <f aca="false">Umsatz!P18</f>
        <v>71400</v>
      </c>
      <c r="D5" s="25" t="n">
        <f aca="false">Umsatz!Q18</f>
        <v>81600</v>
      </c>
    </row>
    <row r="6" customFormat="false" ht="15" hidden="false" customHeight="false" outlineLevel="0" collapsed="false">
      <c r="A6" s="4" t="s">
        <v>230</v>
      </c>
      <c r="B6" s="25" t="n">
        <f aca="false">Umsatz!O26</f>
        <v>8840</v>
      </c>
      <c r="C6" s="25" t="n">
        <f aca="false">Umsatz!P26</f>
        <v>14280</v>
      </c>
      <c r="D6" s="25" t="n">
        <f aca="false">Umsatz!Q26</f>
        <v>16320</v>
      </c>
    </row>
    <row r="7" customFormat="false" ht="15" hidden="false" customHeight="false" outlineLevel="0" collapsed="false">
      <c r="A7" s="20" t="s">
        <v>231</v>
      </c>
      <c r="B7" s="22" t="n">
        <f aca="false">B5-B6</f>
        <v>35360</v>
      </c>
      <c r="C7" s="22" t="n">
        <f aca="false">C5-C6</f>
        <v>57120</v>
      </c>
      <c r="D7" s="22" t="n">
        <f aca="false">D5-D6</f>
        <v>65280</v>
      </c>
    </row>
    <row r="8" customFormat="false" ht="15" hidden="false" customHeight="false" outlineLevel="0" collapsed="false">
      <c r="A8" s="4" t="s">
        <v>232</v>
      </c>
      <c r="B8" s="25" t="n">
        <f aca="false">Kosten!O27</f>
        <v>0</v>
      </c>
      <c r="C8" s="25" t="n">
        <f aca="false">Kosten!P27</f>
        <v>0</v>
      </c>
      <c r="D8" s="25" t="n">
        <f aca="false">Kosten!Q27</f>
        <v>0</v>
      </c>
    </row>
    <row r="9" customFormat="false" ht="15" hidden="false" customHeight="false" outlineLevel="0" collapsed="false">
      <c r="A9" s="4" t="s">
        <v>233</v>
      </c>
      <c r="B9" s="25" t="n">
        <f aca="false">Kosten!O17</f>
        <v>14400</v>
      </c>
      <c r="C9" s="25" t="n">
        <f aca="false">Kosten!P17</f>
        <v>14832</v>
      </c>
      <c r="D9" s="25" t="n">
        <f aca="false">Kosten!Q17</f>
        <v>15276.96</v>
      </c>
    </row>
    <row r="10" customFormat="false" ht="15" hidden="false" customHeight="false" outlineLevel="0" collapsed="false">
      <c r="A10" s="4" t="s">
        <v>234</v>
      </c>
      <c r="B10" s="25" t="n">
        <f aca="false">Kapitalbedarf!B18+Kapitalbedarf!B21+Kapitalbedarf!B22</f>
        <v>3500</v>
      </c>
      <c r="C10" s="19" t="n">
        <f aca="false">0</f>
        <v>0</v>
      </c>
      <c r="D10" s="19" t="n">
        <f aca="false">0</f>
        <v>0</v>
      </c>
    </row>
    <row r="11" customFormat="false" ht="15" hidden="false" customHeight="false" outlineLevel="0" collapsed="false">
      <c r="A11" s="4" t="s">
        <v>235</v>
      </c>
      <c r="B11" s="25" t="n">
        <f aca="false">Kapitalbedarf!E11</f>
        <v>3692.30769230769</v>
      </c>
      <c r="C11" s="25" t="n">
        <f aca="false">Kapitalbedarf!F11</f>
        <v>192.307692307692</v>
      </c>
      <c r="D11" s="25" t="n">
        <f aca="false">Kapitalbedarf!G11</f>
        <v>192.307692307692</v>
      </c>
    </row>
    <row r="12" customFormat="false" ht="15" hidden="false" customHeight="false" outlineLevel="0" collapsed="false">
      <c r="A12" s="4" t="s">
        <v>236</v>
      </c>
      <c r="B12" s="25" t="n">
        <f aca="false">Finanzierung!B22</f>
        <v>600</v>
      </c>
      <c r="C12" s="25" t="n">
        <f aca="false">Finanzierung!C22</f>
        <v>600</v>
      </c>
      <c r="D12" s="25" t="n">
        <f aca="false">Finanzierung!D22</f>
        <v>450</v>
      </c>
    </row>
    <row r="13" customFormat="false" ht="15" hidden="false" customHeight="false" outlineLevel="0" collapsed="false">
      <c r="A13" s="20" t="s">
        <v>237</v>
      </c>
      <c r="B13" s="22" t="n">
        <f aca="false">B7-B8-B9-B10-B11-B12</f>
        <v>13167.6923076923</v>
      </c>
      <c r="C13" s="22" t="n">
        <f aca="false">C7-C8-C9-C10-C11-C12</f>
        <v>41495.6923076923</v>
      </c>
      <c r="D13" s="22" t="n">
        <f aca="false">D7-D8-D9-D10-D11-D12</f>
        <v>49360.7323076923</v>
      </c>
    </row>
    <row r="14" customFormat="false" ht="15" hidden="false" customHeight="false" outlineLevel="0" collapsed="false">
      <c r="A14" s="4" t="s">
        <v>238</v>
      </c>
      <c r="B14" s="19" t="n">
        <f aca="false">IF(Start!$B$8="ja",ROUNDDOWN(MAX(0,B13-IF(Start!$B$22="ja",0,Start!$B$16))/100,0)*100*Start!$B$17*Start!$B$9,0)</f>
        <v>0</v>
      </c>
      <c r="C14" s="19" t="n">
        <f aca="false">IF(Start!$B$8="ja",ROUNDDOWN(MAX(0,C13-IF(Start!$B$22="ja",0,Start!$B$16))/100,0)*100*Start!$B$17*Start!$B$9,0)</f>
        <v>2366</v>
      </c>
      <c r="D14" s="19" t="n">
        <f aca="false">IF(Start!$B$8="ja",ROUNDDOWN(MAX(0,D13-IF(Start!$B$22="ja",0,Start!$B$16))/100,0)*100*Start!$B$17*Start!$B$9,0)</f>
        <v>3472</v>
      </c>
    </row>
    <row r="15" customFormat="false" ht="15" hidden="false" customHeight="false" outlineLevel="0" collapsed="false">
      <c r="A15" s="20" t="s">
        <v>239</v>
      </c>
      <c r="B15" s="22" t="n">
        <f aca="false">B13-B14</f>
        <v>13167.6923076923</v>
      </c>
      <c r="C15" s="22" t="n">
        <f aca="false">C13-C14</f>
        <v>39129.6923076923</v>
      </c>
      <c r="D15" s="22" t="n">
        <f aca="false">D13-D14</f>
        <v>45888.7323076923</v>
      </c>
    </row>
    <row r="17" customFormat="false" ht="15" hidden="false" customHeight="false" outlineLevel="0" collapsed="false">
      <c r="A17" s="4" t="s">
        <v>240</v>
      </c>
      <c r="B17" s="25" t="n">
        <f aca="false">IF(Start!$B$22="ja",0,Lebenshaltung!B28)</f>
        <v>26760</v>
      </c>
      <c r="C17" s="25" t="n">
        <f aca="false">IF(Start!$B$22="ja",0,Lebenshaltung!C28)</f>
        <v>33762.3650769231</v>
      </c>
      <c r="D17" s="25" t="n">
        <f aca="false">IF(Start!$B$22="ja",0,Lebenshaltung!D28)</f>
        <v>36307.5825169231</v>
      </c>
    </row>
    <row r="18" customFormat="false" ht="15" hidden="false" customHeight="false" outlineLevel="0" collapsed="false">
      <c r="A18" s="20" t="s">
        <v>241</v>
      </c>
      <c r="B18" s="22" t="n">
        <f aca="false">B15-B17</f>
        <v>-13592.3076923077</v>
      </c>
      <c r="C18" s="22" t="n">
        <f aca="false">C15-C17</f>
        <v>5367.32723076923</v>
      </c>
      <c r="D18" s="22" t="n">
        <f aca="false">D15-D17</f>
        <v>9581.14979076923</v>
      </c>
    </row>
    <row r="20" customFormat="false" ht="15" hidden="false" customHeight="false" outlineLevel="0" collapsed="false">
      <c r="A20" s="17" t="s">
        <v>242</v>
      </c>
      <c r="B20" s="17" t="s">
        <v>60</v>
      </c>
      <c r="C20" s="17" t="s">
        <v>61</v>
      </c>
      <c r="D20" s="17" t="s">
        <v>62</v>
      </c>
    </row>
    <row r="21" customFormat="false" ht="15" hidden="false" customHeight="false" outlineLevel="0" collapsed="false">
      <c r="A21" s="4" t="s">
        <v>243</v>
      </c>
      <c r="B21" s="12" t="n">
        <f aca="false">IF(B5=0,IF(Umsatz!O18=0,0,Umsatz!O26/Umsatz!O18),B6/B5)</f>
        <v>0.2</v>
      </c>
      <c r="C21" s="12" t="n">
        <f aca="false">IF(C5=0,IF(Umsatz!O18=0,0,Umsatz!O26/Umsatz!O18),C6/C5)</f>
        <v>0.2</v>
      </c>
      <c r="D21" s="12" t="n">
        <f aca="false">IF(D5=0,IF(Umsatz!O18=0,0,Umsatz!O26/Umsatz!O18),D6/D5)</f>
        <v>0.2</v>
      </c>
    </row>
    <row r="22" customFormat="false" ht="15" hidden="false" customHeight="false" outlineLevel="0" collapsed="false">
      <c r="A22" s="4" t="s">
        <v>244</v>
      </c>
      <c r="B22" s="19" t="n">
        <f aca="false">IF(B21&gt;=1,0,(B8+B9+B10+B11+B12)/(1-B21))</f>
        <v>27740.3846153846</v>
      </c>
      <c r="C22" s="19" t="n">
        <f aca="false">IF(C21&gt;=1,0,(C8+C9+C10+C11+C12)/(1-C21))</f>
        <v>19530.3846153846</v>
      </c>
      <c r="D22" s="19" t="n">
        <f aca="false">IF(D21&gt;=1,0,(D8+D9+D10+D11+D12)/(1-D21))</f>
        <v>19899.0846153846</v>
      </c>
    </row>
    <row r="23" customFormat="false" ht="15" hidden="false" customHeight="false" outlineLevel="0" collapsed="false">
      <c r="A23" s="4" t="s">
        <v>245</v>
      </c>
      <c r="B23" s="19" t="n">
        <f aca="false">IF(B21&gt;=1,0,(B8+B9+B10+B11+B12+B17)/(1-B21))</f>
        <v>61190.3846153846</v>
      </c>
      <c r="C23" s="19" t="n">
        <f aca="false">IF(C21&gt;=1,0,(C8+C9+C10+C11+C12+C17)/(1-C21))</f>
        <v>61733.3409615385</v>
      </c>
      <c r="D23" s="19" t="n">
        <f aca="false">IF(D21&gt;=1,0,(D8+D9+D10+D11+D12+D17)/(1-D21))</f>
        <v>65283.5627615385</v>
      </c>
    </row>
    <row r="24" customFormat="false" ht="15" hidden="false" customHeight="false" outlineLevel="0" collapsed="false">
      <c r="A24" s="4" t="s">
        <v>246</v>
      </c>
      <c r="B24" s="19" t="n">
        <f aca="false">B23/12</f>
        <v>5099.19871794872</v>
      </c>
      <c r="C24" s="19" t="n">
        <f aca="false">C23/12</f>
        <v>5144.44508012821</v>
      </c>
      <c r="D24" s="19" t="n">
        <f aca="false">D23/12</f>
        <v>5440.29689679487</v>
      </c>
    </row>
    <row r="25" customFormat="false" ht="15" hidden="false" customHeight="false" outlineLevel="0" collapsed="false">
      <c r="A25" s="4" t="s">
        <v>247</v>
      </c>
      <c r="B25" s="19" t="n">
        <f aca="false">B5-B23</f>
        <v>-16990.3846153846</v>
      </c>
      <c r="C25" s="19" t="n">
        <f aca="false">C5-C23</f>
        <v>9666.65903846155</v>
      </c>
      <c r="D25" s="19" t="n">
        <f aca="false">D5-D23</f>
        <v>16316.4372384615</v>
      </c>
    </row>
    <row r="26" customFormat="false" ht="15" hidden="false" customHeight="false" outlineLevel="0" collapsed="false">
      <c r="A26" s="4" t="s">
        <v>248</v>
      </c>
      <c r="B26" s="27" t="n">
        <f aca="false">IF(Liquidität!B42=99,"nicht im ersten Jahr",INDEX(Liquidität!B4:M4,1,Liquidität!B42))</f>
        <v>46447</v>
      </c>
    </row>
    <row r="27" customFormat="false" ht="15" hidden="false" customHeight="false" outlineLevel="0" collapsed="false">
      <c r="A27" s="4" t="s">
        <v>249</v>
      </c>
      <c r="B27" s="27" t="n">
        <f aca="false">IF(Liquidität!B43=99,"nicht im ersten Jahr",INDEX(Liquidität!B4:M4,1,Liquidität!B43))</f>
        <v>46631</v>
      </c>
    </row>
    <row r="28" customFormat="false" ht="30" hidden="false" customHeight="true" outlineLevel="0" collapsed="false">
      <c r="A28" s="23" t="s">
        <v>250</v>
      </c>
      <c r="B28" s="23"/>
      <c r="C28" s="23"/>
      <c r="D28" s="23"/>
    </row>
    <row r="30" customFormat="false" ht="15" hidden="false" customHeight="false" outlineLevel="0" collapsed="false">
      <c r="A30" s="17" t="s">
        <v>251</v>
      </c>
      <c r="B30" s="17" t="s">
        <v>60</v>
      </c>
      <c r="C30" s="17" t="s">
        <v>61</v>
      </c>
      <c r="D30" s="17" t="s">
        <v>62</v>
      </c>
    </row>
    <row r="31" customFormat="false" ht="15" hidden="false" customHeight="false" outlineLevel="0" collapsed="false">
      <c r="A31" s="4" t="s">
        <v>252</v>
      </c>
      <c r="B31" s="19" t="n">
        <f aca="false">B15+B11+B12-B17</f>
        <v>-9300</v>
      </c>
      <c r="C31" s="19" t="n">
        <f aca="false">C15+C11+C12-C17</f>
        <v>6159.63492307693</v>
      </c>
      <c r="D31" s="19" t="n">
        <f aca="false">D15+D11+D12-D17</f>
        <v>10223.4574830769</v>
      </c>
    </row>
    <row r="32" customFormat="false" ht="15" hidden="false" customHeight="false" outlineLevel="0" collapsed="false">
      <c r="A32" s="4" t="s">
        <v>253</v>
      </c>
      <c r="B32" s="25" t="n">
        <f aca="false">Finanzierung!B22+Finanzierung!B23</f>
        <v>600</v>
      </c>
      <c r="C32" s="25" t="n">
        <f aca="false">Finanzierung!C22+Finanzierung!C23</f>
        <v>3600</v>
      </c>
      <c r="D32" s="25" t="n">
        <f aca="false">Finanzierung!D22+Finanzierung!D23</f>
        <v>3450</v>
      </c>
    </row>
    <row r="33" customFormat="false" ht="15" hidden="false" customHeight="false" outlineLevel="0" collapsed="false">
      <c r="A33" s="4" t="s">
        <v>254</v>
      </c>
      <c r="B33" s="3" t="str">
        <f aca="false">IF(B32=0,"kein Kredit",IF(B31&gt;=B32,"ja","über Kapitalbedarf"))</f>
        <v>über Kapitalbedarf</v>
      </c>
      <c r="C33" s="3" t="str">
        <f aca="false">IF(C32=0,"kein Kredit",IF(C31&gt;=C32,"ja","nein"))</f>
        <v>ja</v>
      </c>
      <c r="D33" s="3" t="str">
        <f aca="false">IF(D32=0,"kein Kredit",IF(D31&gt;=D32,"ja","nein"))</f>
        <v>ja</v>
      </c>
    </row>
    <row r="34" customFormat="false" ht="39.75" hidden="false" customHeight="true" outlineLevel="0" collapsed="false">
      <c r="A34" s="23" t="s">
        <v>255</v>
      </c>
      <c r="B34" s="23"/>
      <c r="C34" s="23"/>
      <c r="D34" s="23"/>
    </row>
  </sheetData>
  <sheetProtection sheet="true" formatCells="false" formatColumns="false" formatRows="false"/>
  <mergeCells count="2">
    <mergeCell ref="A28:D28"/>
    <mergeCell ref="A34:D34"/>
  </mergeCells>
  <conditionalFormatting sqref="B33:D33">
    <cfRule type="cellIs" priority="2" operator="equal" aboveAverage="0" equalAverage="0" bottom="0" percent="0" rank="0" text="" dxfId="0">
      <formula>"ja"</formula>
    </cfRule>
    <cfRule type="cellIs" priority="3" operator="equal" aboveAverage="0" equalAverage="0" bottom="0" percent="0" rank="0" text="" dxfId="1">
      <formula>"nein"</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Vorlage: arbeitdigital.de/gruenden/finanzplan/ · für den eigenen Plan frei nutzbar, Fußzeile darf entfernt werden&amp;R&amp;8 &amp;A · Seite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15" min="2" style="0" width="11"/>
  </cols>
  <sheetData>
    <row r="1" customFormat="false" ht="17.35" hidden="false" customHeight="false" outlineLevel="0" collapsed="false">
      <c r="A1" s="1" t="s">
        <v>256</v>
      </c>
    </row>
    <row r="2" customFormat="false" ht="15" hidden="false" customHeight="false" outlineLevel="0" collapsed="false">
      <c r="A2" s="15" t="s">
        <v>257</v>
      </c>
    </row>
    <row r="4" customFormat="false" ht="15" hidden="false" customHeight="false" outlineLevel="0" collapsed="false">
      <c r="A4" s="17" t="s">
        <v>164</v>
      </c>
      <c r="B4" s="18" t="n">
        <f aca="false">DATE(YEAR(Start!$B$6),MONTH(Start!$B$6)+0,1)</f>
        <v>46388</v>
      </c>
      <c r="C4" s="18" t="n">
        <f aca="false">DATE(YEAR(Start!$B$6),MONTH(Start!$B$6)+1,1)</f>
        <v>46419</v>
      </c>
      <c r="D4" s="18" t="n">
        <f aca="false">DATE(YEAR(Start!$B$6),MONTH(Start!$B$6)+2,1)</f>
        <v>46447</v>
      </c>
      <c r="E4" s="18" t="n">
        <f aca="false">DATE(YEAR(Start!$B$6),MONTH(Start!$B$6)+3,1)</f>
        <v>46478</v>
      </c>
      <c r="F4" s="18" t="n">
        <f aca="false">DATE(YEAR(Start!$B$6),MONTH(Start!$B$6)+4,1)</f>
        <v>46508</v>
      </c>
      <c r="G4" s="18" t="n">
        <f aca="false">DATE(YEAR(Start!$B$6),MONTH(Start!$B$6)+5,1)</f>
        <v>46539</v>
      </c>
      <c r="H4" s="18" t="n">
        <f aca="false">DATE(YEAR(Start!$B$6),MONTH(Start!$B$6)+6,1)</f>
        <v>46569</v>
      </c>
      <c r="I4" s="18" t="n">
        <f aca="false">DATE(YEAR(Start!$B$6),MONTH(Start!$B$6)+7,1)</f>
        <v>46600</v>
      </c>
      <c r="J4" s="18" t="n">
        <f aca="false">DATE(YEAR(Start!$B$6),MONTH(Start!$B$6)+8,1)</f>
        <v>46631</v>
      </c>
      <c r="K4" s="18" t="n">
        <f aca="false">DATE(YEAR(Start!$B$6),MONTH(Start!$B$6)+9,1)</f>
        <v>46661</v>
      </c>
      <c r="L4" s="18" t="n">
        <f aca="false">DATE(YEAR(Start!$B$6),MONTH(Start!$B$6)+10,1)</f>
        <v>46692</v>
      </c>
      <c r="M4" s="18" t="n">
        <f aca="false">DATE(YEAR(Start!$B$6),MONTH(Start!$B$6)+11,1)</f>
        <v>46722</v>
      </c>
      <c r="N4" s="17" t="s">
        <v>61</v>
      </c>
      <c r="O4" s="17" t="s">
        <v>62</v>
      </c>
    </row>
    <row r="5" customFormat="false" ht="15" hidden="false" customHeight="false" outlineLevel="0" collapsed="false">
      <c r="A5" s="3" t="s">
        <v>258</v>
      </c>
      <c r="B5" s="19" t="n">
        <v>0</v>
      </c>
      <c r="C5" s="19" t="n">
        <f aca="false">B28</f>
        <v>10151</v>
      </c>
      <c r="D5" s="19" t="n">
        <f aca="false">C28</f>
        <v>9836</v>
      </c>
      <c r="E5" s="19" t="n">
        <f aca="false">D28</f>
        <v>8525.2</v>
      </c>
      <c r="F5" s="19" t="n">
        <f aca="false">E28</f>
        <v>7085.2</v>
      </c>
      <c r="G5" s="19" t="n">
        <f aca="false">F28</f>
        <v>6454.4</v>
      </c>
      <c r="H5" s="19" t="n">
        <f aca="false">G28</f>
        <v>5694.4</v>
      </c>
      <c r="I5" s="19" t="n">
        <f aca="false">H28</f>
        <v>5743.6</v>
      </c>
      <c r="J5" s="19" t="n">
        <f aca="false">I28</f>
        <v>5663.6</v>
      </c>
      <c r="K5" s="19" t="n">
        <f aca="false">J28</f>
        <v>6392.8</v>
      </c>
      <c r="L5" s="19" t="n">
        <f aca="false">K28</f>
        <v>6992.8</v>
      </c>
      <c r="M5" s="19" t="n">
        <f aca="false">L28</f>
        <v>7592.8</v>
      </c>
      <c r="N5" s="19" t="n">
        <f aca="false">M28</f>
        <v>8192.8</v>
      </c>
      <c r="O5" s="19" t="n">
        <f aca="false">N28</f>
        <v>13242.1629230769</v>
      </c>
    </row>
    <row r="6" customFormat="false" ht="15" hidden="false" customHeight="false" outlineLevel="0" collapsed="false">
      <c r="A6" s="3" t="s">
        <v>259</v>
      </c>
    </row>
    <row r="7" customFormat="false" ht="15" hidden="false" customHeight="false" outlineLevel="0" collapsed="false">
      <c r="A7" s="4" t="s">
        <v>260</v>
      </c>
      <c r="B7" s="25" t="n">
        <f aca="false">IF(1&gt;Start!$B$12,INDEX(Umsatz!$C$18:$N$18,1,1-Start!$B$12),0)</f>
        <v>1700</v>
      </c>
      <c r="C7" s="25" t="n">
        <f aca="false">IF(2&gt;Start!$B$12,INDEX(Umsatz!$C$18:$N$18,1,2-Start!$B$12),0)</f>
        <v>1700</v>
      </c>
      <c r="D7" s="25" t="n">
        <f aca="false">IF(3&gt;Start!$B$12,INDEX(Umsatz!$C$18:$N$18,1,3-Start!$B$12),0)</f>
        <v>2550</v>
      </c>
      <c r="E7" s="25" t="n">
        <f aca="false">IF(4&gt;Start!$B$12,INDEX(Umsatz!$C$18:$N$18,1,4-Start!$B$12),0)</f>
        <v>2550</v>
      </c>
      <c r="F7" s="25" t="n">
        <f aca="false">IF(5&gt;Start!$B$12,INDEX(Umsatz!$C$18:$N$18,1,5-Start!$B$12),0)</f>
        <v>3400</v>
      </c>
      <c r="G7" s="25" t="n">
        <f aca="false">IF(6&gt;Start!$B$12,INDEX(Umsatz!$C$18:$N$18,1,6-Start!$B$12),0)</f>
        <v>3400</v>
      </c>
      <c r="H7" s="25" t="n">
        <f aca="false">IF(7&gt;Start!$B$12,INDEX(Umsatz!$C$18:$N$18,1,7-Start!$B$12),0)</f>
        <v>4250</v>
      </c>
      <c r="I7" s="25" t="n">
        <f aca="false">IF(8&gt;Start!$B$12,INDEX(Umsatz!$C$18:$N$18,1,8-Start!$B$12),0)</f>
        <v>4250</v>
      </c>
      <c r="J7" s="25" t="n">
        <f aca="false">IF(9&gt;Start!$B$12,INDEX(Umsatz!$C$18:$N$18,1,9-Start!$B$12),0)</f>
        <v>5100</v>
      </c>
      <c r="K7" s="25" t="n">
        <f aca="false">IF(10&gt;Start!$B$12,INDEX(Umsatz!$C$18:$N$18,1,10-Start!$B$12),0)</f>
        <v>5100</v>
      </c>
      <c r="L7" s="25" t="n">
        <f aca="false">IF(11&gt;Start!$B$12,INDEX(Umsatz!$C$18:$N$18,1,11-Start!$B$12),0)</f>
        <v>5100</v>
      </c>
      <c r="M7" s="25" t="n">
        <f aca="false">IF(12&gt;Start!$B$12,INDEX(Umsatz!$C$18:$N$18,1,12-Start!$B$12),0)</f>
        <v>5100</v>
      </c>
      <c r="N7" s="25" t="n">
        <f aca="false">Umsatz!P18*(12-Start!$B$12)/12+SUMPRODUCT((Umsatz!$C$3:$N$3&gt;12-Start!$B$12)*Umsatz!$C$18:$N$18)</f>
        <v>71400</v>
      </c>
      <c r="O7" s="25" t="n">
        <f aca="false">Umsatz!Q18*(12-Start!$B$12)/12+Umsatz!P18*Start!$B$12/12</f>
        <v>81600</v>
      </c>
    </row>
    <row r="8" customFormat="false" ht="15" hidden="false" customHeight="false" outlineLevel="0" collapsed="false">
      <c r="A8" s="4" t="s">
        <v>261</v>
      </c>
      <c r="B8" s="25" t="n">
        <f aca="false">IF(1&gt;Start!$B$12,INDEX(Umsatz!$C$36:$N$36,1,1-Start!$B$12),0)</f>
        <v>323</v>
      </c>
      <c r="C8" s="25" t="n">
        <f aca="false">IF(2&gt;Start!$B$12,INDEX(Umsatz!$C$36:$N$36,1,2-Start!$B$12),0)</f>
        <v>323</v>
      </c>
      <c r="D8" s="25" t="n">
        <f aca="false">IF(3&gt;Start!$B$12,INDEX(Umsatz!$C$36:$N$36,1,3-Start!$B$12),0)</f>
        <v>484.5</v>
      </c>
      <c r="E8" s="25" t="n">
        <f aca="false">IF(4&gt;Start!$B$12,INDEX(Umsatz!$C$36:$N$36,1,4-Start!$B$12),0)</f>
        <v>484.5</v>
      </c>
      <c r="F8" s="25" t="n">
        <f aca="false">IF(5&gt;Start!$B$12,INDEX(Umsatz!$C$36:$N$36,1,5-Start!$B$12),0)</f>
        <v>646</v>
      </c>
      <c r="G8" s="25" t="n">
        <f aca="false">IF(6&gt;Start!$B$12,INDEX(Umsatz!$C$36:$N$36,1,6-Start!$B$12),0)</f>
        <v>646</v>
      </c>
      <c r="H8" s="25" t="n">
        <f aca="false">IF(7&gt;Start!$B$12,INDEX(Umsatz!$C$36:$N$36,1,7-Start!$B$12),0)</f>
        <v>807.5</v>
      </c>
      <c r="I8" s="25" t="n">
        <f aca="false">IF(8&gt;Start!$B$12,INDEX(Umsatz!$C$36:$N$36,1,8-Start!$B$12),0)</f>
        <v>807.5</v>
      </c>
      <c r="J8" s="25" t="n">
        <f aca="false">IF(9&gt;Start!$B$12,INDEX(Umsatz!$C$36:$N$36,1,9-Start!$B$12),0)</f>
        <v>969</v>
      </c>
      <c r="K8" s="25" t="n">
        <f aca="false">IF(10&gt;Start!$B$12,INDEX(Umsatz!$C$36:$N$36,1,10-Start!$B$12),0)</f>
        <v>969</v>
      </c>
      <c r="L8" s="25" t="n">
        <f aca="false">IF(11&gt;Start!$B$12,INDEX(Umsatz!$C$36:$N$36,1,11-Start!$B$12),0)</f>
        <v>969</v>
      </c>
      <c r="M8" s="25" t="n">
        <f aca="false">IF(12&gt;Start!$B$12,INDEX(Umsatz!$C$36:$N$36,1,12-Start!$B$12),0)</f>
        <v>969</v>
      </c>
      <c r="N8" s="25" t="n">
        <f aca="false">Umsatz!P36*(12-Start!$B$12)/12+SUMPRODUCT((Umsatz!$C$3:$N$3&gt;12-Start!$B$12)*Umsatz!$C$36:$N$36)</f>
        <v>13566</v>
      </c>
      <c r="O8" s="25" t="n">
        <f aca="false">Umsatz!Q36*(12-Start!$B$12)/12+Umsatz!P36*Start!$B$12/12</f>
        <v>15504</v>
      </c>
    </row>
    <row r="9" customFormat="false" ht="15" hidden="false" customHeight="false" outlineLevel="0" collapsed="false">
      <c r="A9" s="4" t="s">
        <v>262</v>
      </c>
      <c r="B9" s="25" t="n">
        <f aca="false">Finanzierung!B5</f>
        <v>10000</v>
      </c>
      <c r="C9" s="19" t="n">
        <v>0</v>
      </c>
      <c r="D9" s="19" t="n">
        <v>0</v>
      </c>
      <c r="E9" s="19" t="n">
        <v>0</v>
      </c>
      <c r="F9" s="19" t="n">
        <v>0</v>
      </c>
      <c r="G9" s="19" t="n">
        <v>0</v>
      </c>
      <c r="H9" s="19" t="n">
        <v>0</v>
      </c>
      <c r="I9" s="19" t="n">
        <v>0</v>
      </c>
      <c r="J9" s="19" t="n">
        <v>0</v>
      </c>
      <c r="K9" s="19" t="n">
        <v>0</v>
      </c>
      <c r="L9" s="19" t="n">
        <v>0</v>
      </c>
      <c r="M9" s="19" t="n">
        <v>0</v>
      </c>
      <c r="N9" s="19" t="n">
        <v>0</v>
      </c>
      <c r="O9" s="19" t="n">
        <v>0</v>
      </c>
    </row>
    <row r="10" customFormat="false" ht="15" hidden="false" customHeight="false" outlineLevel="0" collapsed="false">
      <c r="A10" s="4" t="s">
        <v>263</v>
      </c>
      <c r="B10" s="25" t="n">
        <f aca="false">Finanzierung!B6+Finanzierung!B7</f>
        <v>12000</v>
      </c>
      <c r="C10" s="19" t="n">
        <v>0</v>
      </c>
      <c r="D10" s="19" t="n">
        <v>0</v>
      </c>
      <c r="E10" s="19" t="n">
        <v>0</v>
      </c>
      <c r="F10" s="19" t="n">
        <v>0</v>
      </c>
      <c r="G10" s="19" t="n">
        <v>0</v>
      </c>
      <c r="H10" s="19" t="n">
        <v>0</v>
      </c>
      <c r="I10" s="19" t="n">
        <v>0</v>
      </c>
      <c r="J10" s="19" t="n">
        <v>0</v>
      </c>
      <c r="K10" s="19" t="n">
        <v>0</v>
      </c>
      <c r="L10" s="19" t="n">
        <v>0</v>
      </c>
      <c r="M10" s="19" t="n">
        <v>0</v>
      </c>
      <c r="N10" s="19" t="n">
        <v>0</v>
      </c>
      <c r="O10" s="19" t="n">
        <v>0</v>
      </c>
    </row>
    <row r="11" customFormat="false" ht="15" hidden="false" customHeight="false" outlineLevel="0" collapsed="false">
      <c r="A11" s="4" t="s">
        <v>264</v>
      </c>
      <c r="B11" s="25" t="n">
        <f aca="false">Finanzierung!B8</f>
        <v>0</v>
      </c>
      <c r="C11" s="19" t="n">
        <v>0</v>
      </c>
      <c r="D11" s="19" t="n">
        <v>0</v>
      </c>
      <c r="E11" s="19" t="n">
        <v>0</v>
      </c>
      <c r="F11" s="19" t="n">
        <v>0</v>
      </c>
      <c r="G11" s="19" t="n">
        <v>0</v>
      </c>
      <c r="H11" s="19" t="n">
        <v>0</v>
      </c>
      <c r="I11" s="19" t="n">
        <v>0</v>
      </c>
      <c r="J11" s="19" t="n">
        <v>0</v>
      </c>
      <c r="K11" s="19" t="n">
        <v>0</v>
      </c>
      <c r="L11" s="19" t="n">
        <v>0</v>
      </c>
      <c r="M11" s="19" t="n">
        <v>0</v>
      </c>
      <c r="N11" s="19" t="n">
        <v>0</v>
      </c>
      <c r="O11" s="19" t="n">
        <v>0</v>
      </c>
    </row>
    <row r="12" customFormat="false" ht="15" hidden="false" customHeight="false" outlineLevel="0" collapsed="false">
      <c r="A12" s="20" t="s">
        <v>265</v>
      </c>
      <c r="B12" s="22" t="n">
        <f aca="false">SUM(B7:B11)</f>
        <v>24023</v>
      </c>
      <c r="C12" s="22" t="n">
        <f aca="false">SUM(C7:C11)</f>
        <v>2023</v>
      </c>
      <c r="D12" s="22" t="n">
        <f aca="false">SUM(D7:D11)</f>
        <v>3034.5</v>
      </c>
      <c r="E12" s="22" t="n">
        <f aca="false">SUM(E7:E11)</f>
        <v>3034.5</v>
      </c>
      <c r="F12" s="22" t="n">
        <f aca="false">SUM(F7:F11)</f>
        <v>4046</v>
      </c>
      <c r="G12" s="22" t="n">
        <f aca="false">SUM(G7:G11)</f>
        <v>4046</v>
      </c>
      <c r="H12" s="22" t="n">
        <f aca="false">SUM(H7:H11)</f>
        <v>5057.5</v>
      </c>
      <c r="I12" s="22" t="n">
        <f aca="false">SUM(I7:I11)</f>
        <v>5057.5</v>
      </c>
      <c r="J12" s="22" t="n">
        <f aca="false">SUM(J7:J11)</f>
        <v>6069</v>
      </c>
      <c r="K12" s="22" t="n">
        <f aca="false">SUM(K7:K11)</f>
        <v>6069</v>
      </c>
      <c r="L12" s="22" t="n">
        <f aca="false">SUM(L7:L11)</f>
        <v>6069</v>
      </c>
      <c r="M12" s="22" t="n">
        <f aca="false">SUM(M7:M11)</f>
        <v>6069</v>
      </c>
      <c r="N12" s="22" t="n">
        <f aca="false">SUM(N7:N11)</f>
        <v>84966</v>
      </c>
      <c r="O12" s="22" t="n">
        <f aca="false">SUM(O7:O11)</f>
        <v>97104</v>
      </c>
    </row>
    <row r="13" customFormat="false" ht="15" hidden="false" customHeight="false" outlineLevel="0" collapsed="false">
      <c r="A13" s="3" t="s">
        <v>266</v>
      </c>
    </row>
    <row r="14" customFormat="false" ht="15" hidden="false" customHeight="false" outlineLevel="0" collapsed="false">
      <c r="A14" s="4" t="s">
        <v>267</v>
      </c>
      <c r="B14" s="25" t="n">
        <f aca="false">Umsatz!C26</f>
        <v>340</v>
      </c>
      <c r="C14" s="25" t="n">
        <f aca="false">Umsatz!D26</f>
        <v>340</v>
      </c>
      <c r="D14" s="25" t="n">
        <f aca="false">Umsatz!E26</f>
        <v>510</v>
      </c>
      <c r="E14" s="25" t="n">
        <f aca="false">Umsatz!F26</f>
        <v>510</v>
      </c>
      <c r="F14" s="25" t="n">
        <f aca="false">Umsatz!G26</f>
        <v>680</v>
      </c>
      <c r="G14" s="25" t="n">
        <f aca="false">Umsatz!H26</f>
        <v>680</v>
      </c>
      <c r="H14" s="25" t="n">
        <f aca="false">Umsatz!I26</f>
        <v>850</v>
      </c>
      <c r="I14" s="25" t="n">
        <f aca="false">Umsatz!J26</f>
        <v>850</v>
      </c>
      <c r="J14" s="25" t="n">
        <f aca="false">Umsatz!K26</f>
        <v>1020</v>
      </c>
      <c r="K14" s="25" t="n">
        <f aca="false">Umsatz!L26</f>
        <v>1020</v>
      </c>
      <c r="L14" s="25" t="n">
        <f aca="false">Umsatz!M26</f>
        <v>1020</v>
      </c>
      <c r="M14" s="25" t="n">
        <f aca="false">Umsatz!N26</f>
        <v>1020</v>
      </c>
      <c r="N14" s="25" t="n">
        <f aca="false">Umsatz!P26</f>
        <v>14280</v>
      </c>
      <c r="O14" s="25" t="n">
        <f aca="false">Umsatz!Q26</f>
        <v>16320</v>
      </c>
    </row>
    <row r="15" customFormat="false" ht="15" hidden="false" customHeight="false" outlineLevel="0" collapsed="false">
      <c r="A15" s="4" t="s">
        <v>268</v>
      </c>
      <c r="B15" s="25" t="n">
        <f aca="false">Kosten!C17</f>
        <v>1200</v>
      </c>
      <c r="C15" s="25" t="n">
        <f aca="false">Kosten!D17</f>
        <v>1200</v>
      </c>
      <c r="D15" s="25" t="n">
        <f aca="false">Kosten!E17</f>
        <v>1200</v>
      </c>
      <c r="E15" s="25" t="n">
        <f aca="false">Kosten!F17</f>
        <v>1200</v>
      </c>
      <c r="F15" s="25" t="n">
        <f aca="false">Kosten!G17</f>
        <v>1200</v>
      </c>
      <c r="G15" s="25" t="n">
        <f aca="false">Kosten!H17</f>
        <v>1200</v>
      </c>
      <c r="H15" s="25" t="n">
        <f aca="false">Kosten!I17</f>
        <v>1200</v>
      </c>
      <c r="I15" s="25" t="n">
        <f aca="false">Kosten!J17</f>
        <v>1200</v>
      </c>
      <c r="J15" s="25" t="n">
        <f aca="false">Kosten!K17</f>
        <v>1200</v>
      </c>
      <c r="K15" s="25" t="n">
        <f aca="false">Kosten!L17</f>
        <v>1200</v>
      </c>
      <c r="L15" s="25" t="n">
        <f aca="false">Kosten!M17</f>
        <v>1200</v>
      </c>
      <c r="M15" s="25" t="n">
        <f aca="false">Kosten!N17</f>
        <v>1200</v>
      </c>
      <c r="N15" s="25" t="n">
        <f aca="false">Kosten!P17</f>
        <v>14832</v>
      </c>
      <c r="O15" s="25" t="n">
        <f aca="false">Kosten!Q17</f>
        <v>15276.96</v>
      </c>
    </row>
    <row r="16" customFormat="false" ht="15" hidden="false" customHeight="false" outlineLevel="0" collapsed="false">
      <c r="A16" s="4" t="s">
        <v>98</v>
      </c>
      <c r="B16" s="25" t="n">
        <f aca="false">Kosten!C27</f>
        <v>0</v>
      </c>
      <c r="C16" s="25" t="n">
        <f aca="false">Kosten!D27</f>
        <v>0</v>
      </c>
      <c r="D16" s="25" t="n">
        <f aca="false">Kosten!E27</f>
        <v>0</v>
      </c>
      <c r="E16" s="25" t="n">
        <f aca="false">Kosten!F27</f>
        <v>0</v>
      </c>
      <c r="F16" s="25" t="n">
        <f aca="false">Kosten!G27</f>
        <v>0</v>
      </c>
      <c r="G16" s="25" t="n">
        <f aca="false">Kosten!H27</f>
        <v>0</v>
      </c>
      <c r="H16" s="25" t="n">
        <f aca="false">Kosten!I27</f>
        <v>0</v>
      </c>
      <c r="I16" s="25" t="n">
        <f aca="false">Kosten!J27</f>
        <v>0</v>
      </c>
      <c r="J16" s="25" t="n">
        <f aca="false">Kosten!K27</f>
        <v>0</v>
      </c>
      <c r="K16" s="25" t="n">
        <f aca="false">Kosten!L27</f>
        <v>0</v>
      </c>
      <c r="L16" s="25" t="n">
        <f aca="false">Kosten!M27</f>
        <v>0</v>
      </c>
      <c r="M16" s="25" t="n">
        <f aca="false">Kosten!N27</f>
        <v>0</v>
      </c>
      <c r="N16" s="25" t="n">
        <f aca="false">Kosten!P27</f>
        <v>0</v>
      </c>
      <c r="O16" s="25" t="n">
        <f aca="false">Kosten!Q27</f>
        <v>0</v>
      </c>
    </row>
    <row r="17" customFormat="false" ht="15" hidden="false" customHeight="false" outlineLevel="0" collapsed="false">
      <c r="A17" s="4" t="s">
        <v>269</v>
      </c>
      <c r="B17" s="25" t="n">
        <f aca="false">Kapitalbedarf!B11</f>
        <v>6000</v>
      </c>
      <c r="C17" s="19" t="n">
        <v>0</v>
      </c>
      <c r="D17" s="19" t="n">
        <v>0</v>
      </c>
      <c r="E17" s="19" t="n">
        <v>0</v>
      </c>
      <c r="F17" s="19" t="n">
        <v>0</v>
      </c>
      <c r="G17" s="19" t="n">
        <v>0</v>
      </c>
      <c r="H17" s="19" t="n">
        <v>0</v>
      </c>
      <c r="I17" s="19" t="n">
        <v>0</v>
      </c>
      <c r="J17" s="19" t="n">
        <v>0</v>
      </c>
      <c r="K17" s="19" t="n">
        <v>0</v>
      </c>
      <c r="L17" s="19" t="n">
        <v>0</v>
      </c>
      <c r="M17" s="19" t="n">
        <v>0</v>
      </c>
      <c r="N17" s="25" t="n">
        <f aca="false">Kapitalbedarf!B12</f>
        <v>0</v>
      </c>
      <c r="O17" s="25" t="n">
        <f aca="false">Kapitalbedarf!C12</f>
        <v>0</v>
      </c>
    </row>
    <row r="18" customFormat="false" ht="15" hidden="false" customHeight="false" outlineLevel="0" collapsed="false">
      <c r="A18" s="4" t="s">
        <v>270</v>
      </c>
      <c r="B18" s="25" t="n">
        <f aca="false">Kapitalbedarf!B24</f>
        <v>2000</v>
      </c>
      <c r="C18" s="19" t="n">
        <v>0</v>
      </c>
      <c r="D18" s="19" t="n">
        <v>0</v>
      </c>
      <c r="E18" s="19" t="n">
        <v>0</v>
      </c>
      <c r="F18" s="19" t="n">
        <v>0</v>
      </c>
      <c r="G18" s="19" t="n">
        <v>0</v>
      </c>
      <c r="H18" s="19" t="n">
        <v>0</v>
      </c>
      <c r="I18" s="19" t="n">
        <v>0</v>
      </c>
      <c r="J18" s="19" t="n">
        <v>0</v>
      </c>
      <c r="K18" s="19" t="n">
        <v>0</v>
      </c>
      <c r="L18" s="19" t="n">
        <v>0</v>
      </c>
      <c r="M18" s="19" t="n">
        <v>0</v>
      </c>
      <c r="N18" s="19" t="n">
        <v>0</v>
      </c>
      <c r="O18" s="19" t="n">
        <v>0</v>
      </c>
    </row>
    <row r="19" customFormat="false" ht="15" hidden="false" customHeight="false" outlineLevel="0" collapsed="false">
      <c r="A19" s="4" t="s">
        <v>271</v>
      </c>
      <c r="B19" s="10" t="n">
        <v>0</v>
      </c>
      <c r="C19" s="10" t="n">
        <v>0</v>
      </c>
      <c r="D19" s="10" t="n">
        <v>0</v>
      </c>
      <c r="E19" s="10" t="n">
        <v>0</v>
      </c>
      <c r="F19" s="10" t="n">
        <v>0</v>
      </c>
      <c r="G19" s="10" t="n">
        <v>0</v>
      </c>
      <c r="H19" s="10" t="n">
        <v>0</v>
      </c>
      <c r="I19" s="10" t="n">
        <v>0</v>
      </c>
      <c r="J19" s="10" t="n">
        <v>0</v>
      </c>
      <c r="K19" s="10" t="n">
        <v>0</v>
      </c>
      <c r="L19" s="10" t="n">
        <v>0</v>
      </c>
      <c r="M19" s="10" t="n">
        <v>0</v>
      </c>
      <c r="N19" s="10" t="n">
        <v>0</v>
      </c>
      <c r="O19" s="10" t="n">
        <v>0</v>
      </c>
    </row>
    <row r="20" customFormat="false" ht="15" hidden="false" customHeight="false" outlineLevel="0" collapsed="false">
      <c r="A20" s="4" t="s">
        <v>272</v>
      </c>
      <c r="B20" s="19" t="n">
        <f aca="false">(B14+B15*Kosten!$B$19+B17+(Kapitalbedarf!B18+Kapitalbedarf!B21+Kapitalbedarf!B22))*Start!$B$21</f>
        <v>2052</v>
      </c>
      <c r="C20" s="19" t="n">
        <f aca="false">(C14+C15*Kosten!$B$19+C17)*Start!$B$21</f>
        <v>247</v>
      </c>
      <c r="D20" s="19" t="n">
        <f aca="false">(D14+D15*Kosten!$B$19+D17)*Start!$B$21</f>
        <v>279.3</v>
      </c>
      <c r="E20" s="19" t="n">
        <f aca="false">(E14+E15*Kosten!$B$19+E17)*Start!$B$21</f>
        <v>279.3</v>
      </c>
      <c r="F20" s="19" t="n">
        <f aca="false">(F14+F15*Kosten!$B$19+F17)*Start!$B$21</f>
        <v>311.6</v>
      </c>
      <c r="G20" s="19" t="n">
        <f aca="false">(G14+G15*Kosten!$B$19+G17)*Start!$B$21</f>
        <v>311.6</v>
      </c>
      <c r="H20" s="19" t="n">
        <f aca="false">(H14+H15*Kosten!$B$19+H17)*Start!$B$21</f>
        <v>343.9</v>
      </c>
      <c r="I20" s="19" t="n">
        <f aca="false">(I14+I15*Kosten!$B$19+I17)*Start!$B$21</f>
        <v>343.9</v>
      </c>
      <c r="J20" s="19" t="n">
        <f aca="false">(J14+J15*Kosten!$B$19+J17)*Start!$B$21</f>
        <v>376.2</v>
      </c>
      <c r="K20" s="19" t="n">
        <f aca="false">(K14+K15*Kosten!$B$19+K17)*Start!$B$21</f>
        <v>376.2</v>
      </c>
      <c r="L20" s="19" t="n">
        <f aca="false">(L14+L15*Kosten!$B$19+L17)*Start!$B$21</f>
        <v>376.2</v>
      </c>
      <c r="M20" s="19" t="n">
        <f aca="false">(M14+M15*Kosten!$B$19+M17)*Start!$B$21</f>
        <v>376.2</v>
      </c>
      <c r="N20" s="19" t="n">
        <f aca="false">(N14+N15*Kosten!$B$19+N17)*Start!$B$21</f>
        <v>4967.664</v>
      </c>
      <c r="O20" s="19" t="n">
        <f aca="false">(O14+O15*Kosten!$B$19+O17)*Start!$B$21</f>
        <v>5422.89792</v>
      </c>
    </row>
    <row r="21" customFormat="false" ht="15" hidden="false" customHeight="false" outlineLevel="0" collapsed="false">
      <c r="A21" s="4" t="s">
        <v>273</v>
      </c>
      <c r="B21" s="19" t="n">
        <v>0</v>
      </c>
      <c r="C21" s="19" t="n">
        <f aca="false">Umsatz!C36-B20</f>
        <v>-1729</v>
      </c>
      <c r="D21" s="19" t="n">
        <f aca="false">Umsatz!D36-C20</f>
        <v>76</v>
      </c>
      <c r="E21" s="19" t="n">
        <f aca="false">Umsatz!E36-D20</f>
        <v>205.2</v>
      </c>
      <c r="F21" s="19" t="n">
        <f aca="false">Umsatz!F36-E20</f>
        <v>205.2</v>
      </c>
      <c r="G21" s="19" t="n">
        <f aca="false">Umsatz!G36-F20</f>
        <v>334.4</v>
      </c>
      <c r="H21" s="19" t="n">
        <f aca="false">Umsatz!H36-G20</f>
        <v>334.4</v>
      </c>
      <c r="I21" s="19" t="n">
        <f aca="false">Umsatz!I36-H20</f>
        <v>463.6</v>
      </c>
      <c r="J21" s="19" t="n">
        <f aca="false">Umsatz!J36-I20</f>
        <v>463.6</v>
      </c>
      <c r="K21" s="19" t="n">
        <f aca="false">Umsatz!K36-J20</f>
        <v>592.8</v>
      </c>
      <c r="L21" s="19" t="n">
        <f aca="false">Umsatz!L36-K20</f>
        <v>592.8</v>
      </c>
      <c r="M21" s="19" t="n">
        <f aca="false">Umsatz!M36-L20</f>
        <v>592.8</v>
      </c>
      <c r="N21" s="19" t="n">
        <f aca="false">(Umsatz!N36-M20)+(Umsatz!P36-N20)*11/12</f>
        <v>8474.608</v>
      </c>
      <c r="O21" s="19" t="n">
        <f aca="false">(Umsatz!P36-N20)/12+(Umsatz!Q36-O20)*11/12</f>
        <v>9957.53824</v>
      </c>
    </row>
    <row r="22" customFormat="false" ht="15" hidden="false" customHeight="false" outlineLevel="0" collapsed="false">
      <c r="A22" s="4" t="s">
        <v>274</v>
      </c>
      <c r="B22" s="25" t="n">
        <f aca="false">Finanzierung!$B$22/12</f>
        <v>50</v>
      </c>
      <c r="C22" s="25" t="n">
        <f aca="false">Finanzierung!$B$22/12</f>
        <v>50</v>
      </c>
      <c r="D22" s="25" t="n">
        <f aca="false">Finanzierung!$B$22/12</f>
        <v>50</v>
      </c>
      <c r="E22" s="25" t="n">
        <f aca="false">Finanzierung!$B$22/12</f>
        <v>50</v>
      </c>
      <c r="F22" s="25" t="n">
        <f aca="false">Finanzierung!$B$22/12</f>
        <v>50</v>
      </c>
      <c r="G22" s="25" t="n">
        <f aca="false">Finanzierung!$B$22/12</f>
        <v>50</v>
      </c>
      <c r="H22" s="25" t="n">
        <f aca="false">Finanzierung!$B$22/12</f>
        <v>50</v>
      </c>
      <c r="I22" s="25" t="n">
        <f aca="false">Finanzierung!$B$22/12</f>
        <v>50</v>
      </c>
      <c r="J22" s="25" t="n">
        <f aca="false">Finanzierung!$B$22/12</f>
        <v>50</v>
      </c>
      <c r="K22" s="25" t="n">
        <f aca="false">Finanzierung!$B$22/12</f>
        <v>50</v>
      </c>
      <c r="L22" s="25" t="n">
        <f aca="false">Finanzierung!$B$22/12</f>
        <v>50</v>
      </c>
      <c r="M22" s="25" t="n">
        <f aca="false">Finanzierung!$B$22/12</f>
        <v>50</v>
      </c>
      <c r="N22" s="25" t="n">
        <f aca="false">Finanzierung!C22</f>
        <v>600</v>
      </c>
      <c r="O22" s="25" t="n">
        <f aca="false">Finanzierung!D22</f>
        <v>450</v>
      </c>
    </row>
    <row r="23" customFormat="false" ht="15" hidden="false" customHeight="false" outlineLevel="0" collapsed="false">
      <c r="A23" s="4" t="s">
        <v>275</v>
      </c>
      <c r="B23" s="25" t="n">
        <f aca="false">Finanzierung!$B$23/12</f>
        <v>0</v>
      </c>
      <c r="C23" s="25" t="n">
        <f aca="false">Finanzierung!$B$23/12</f>
        <v>0</v>
      </c>
      <c r="D23" s="25" t="n">
        <f aca="false">Finanzierung!$B$23/12</f>
        <v>0</v>
      </c>
      <c r="E23" s="25" t="n">
        <f aca="false">Finanzierung!$B$23/12</f>
        <v>0</v>
      </c>
      <c r="F23" s="25" t="n">
        <f aca="false">Finanzierung!$B$23/12</f>
        <v>0</v>
      </c>
      <c r="G23" s="25" t="n">
        <f aca="false">Finanzierung!$B$23/12</f>
        <v>0</v>
      </c>
      <c r="H23" s="25" t="n">
        <f aca="false">Finanzierung!$B$23/12</f>
        <v>0</v>
      </c>
      <c r="I23" s="25" t="n">
        <f aca="false">Finanzierung!$B$23/12</f>
        <v>0</v>
      </c>
      <c r="J23" s="25" t="n">
        <f aca="false">Finanzierung!$B$23/12</f>
        <v>0</v>
      </c>
      <c r="K23" s="25" t="n">
        <f aca="false">Finanzierung!$B$23/12</f>
        <v>0</v>
      </c>
      <c r="L23" s="25" t="n">
        <f aca="false">Finanzierung!$B$23/12</f>
        <v>0</v>
      </c>
      <c r="M23" s="25" t="n">
        <f aca="false">Finanzierung!$B$23/12</f>
        <v>0</v>
      </c>
      <c r="N23" s="25" t="n">
        <f aca="false">Finanzierung!C23</f>
        <v>3000</v>
      </c>
      <c r="O23" s="25" t="n">
        <f aca="false">Finanzierung!D23</f>
        <v>3000</v>
      </c>
    </row>
    <row r="24" customFormat="false" ht="15" hidden="false" customHeight="false" outlineLevel="0" collapsed="false">
      <c r="A24" s="4" t="s">
        <v>143</v>
      </c>
      <c r="B24" s="25" t="n">
        <f aca="false">IF(Start!$B$22="ja",0,Lebenshaltung!$B$28/12)</f>
        <v>2230</v>
      </c>
      <c r="C24" s="25" t="n">
        <f aca="false">IF(Start!$B$22="ja",0,Lebenshaltung!$B$28/12)</f>
        <v>2230</v>
      </c>
      <c r="D24" s="25" t="n">
        <f aca="false">IF(Start!$B$22="ja",0,Lebenshaltung!$B$28/12)</f>
        <v>2230</v>
      </c>
      <c r="E24" s="25" t="n">
        <f aca="false">IF(Start!$B$22="ja",0,Lebenshaltung!$B$28/12)</f>
        <v>2230</v>
      </c>
      <c r="F24" s="25" t="n">
        <f aca="false">IF(Start!$B$22="ja",0,Lebenshaltung!$B$28/12)</f>
        <v>2230</v>
      </c>
      <c r="G24" s="25" t="n">
        <f aca="false">IF(Start!$B$22="ja",0,Lebenshaltung!$B$28/12)</f>
        <v>2230</v>
      </c>
      <c r="H24" s="25" t="n">
        <f aca="false">IF(Start!$B$22="ja",0,Lebenshaltung!$B$28/12)</f>
        <v>2230</v>
      </c>
      <c r="I24" s="25" t="n">
        <f aca="false">IF(Start!$B$22="ja",0,Lebenshaltung!$B$28/12)</f>
        <v>2230</v>
      </c>
      <c r="J24" s="25" t="n">
        <f aca="false">IF(Start!$B$22="ja",0,Lebenshaltung!$B$28/12)</f>
        <v>2230</v>
      </c>
      <c r="K24" s="25" t="n">
        <f aca="false">IF(Start!$B$22="ja",0,Lebenshaltung!$B$28/12)</f>
        <v>2230</v>
      </c>
      <c r="L24" s="25" t="n">
        <f aca="false">IF(Start!$B$22="ja",0,Lebenshaltung!$B$28/12)</f>
        <v>2230</v>
      </c>
      <c r="M24" s="25" t="n">
        <f aca="false">IF(Start!$B$22="ja",0,Lebenshaltung!$B$28/12)</f>
        <v>2230</v>
      </c>
      <c r="N24" s="25" t="n">
        <f aca="false">IF(Start!$B$22="ja",0,Lebenshaltung!C28)</f>
        <v>33762.3650769231</v>
      </c>
      <c r="O24" s="25" t="n">
        <f aca="false">IF(Start!$B$22="ja",0,Lebenshaltung!D28)</f>
        <v>36307.5825169231</v>
      </c>
    </row>
    <row r="25" customFormat="false" ht="15" hidden="false" customHeight="false" outlineLevel="0" collapsed="false">
      <c r="A25" s="4" t="s">
        <v>276</v>
      </c>
      <c r="B25" s="19" t="n">
        <v>0</v>
      </c>
      <c r="C25" s="19" t="n">
        <v>0</v>
      </c>
      <c r="D25" s="19" t="n">
        <v>0</v>
      </c>
      <c r="E25" s="19" t="n">
        <v>0</v>
      </c>
      <c r="F25" s="19" t="n">
        <v>0</v>
      </c>
      <c r="G25" s="19" t="n">
        <v>0</v>
      </c>
      <c r="H25" s="19" t="n">
        <v>0</v>
      </c>
      <c r="I25" s="19" t="n">
        <v>0</v>
      </c>
      <c r="J25" s="19" t="n">
        <v>0</v>
      </c>
      <c r="K25" s="19" t="n">
        <v>0</v>
      </c>
      <c r="L25" s="19" t="n">
        <v>0</v>
      </c>
      <c r="M25" s="19" t="n">
        <v>0</v>
      </c>
      <c r="N25" s="25" t="n">
        <f aca="false">Rentabilität!B14</f>
        <v>0</v>
      </c>
      <c r="O25" s="25" t="n">
        <f aca="false">Rentabilität!C14</f>
        <v>2366</v>
      </c>
    </row>
    <row r="26" customFormat="false" ht="15" hidden="false" customHeight="false" outlineLevel="0" collapsed="false">
      <c r="A26" s="20" t="s">
        <v>277</v>
      </c>
      <c r="B26" s="22" t="n">
        <f aca="false">SUM(B14:B25)</f>
        <v>13872</v>
      </c>
      <c r="C26" s="22" t="n">
        <f aca="false">SUM(C14:C25)</f>
        <v>2338</v>
      </c>
      <c r="D26" s="22" t="n">
        <f aca="false">SUM(D14:D25)</f>
        <v>4345.3</v>
      </c>
      <c r="E26" s="22" t="n">
        <f aca="false">SUM(E14:E25)</f>
        <v>4474.5</v>
      </c>
      <c r="F26" s="22" t="n">
        <f aca="false">SUM(F14:F25)</f>
        <v>4676.8</v>
      </c>
      <c r="G26" s="22" t="n">
        <f aca="false">SUM(G14:G25)</f>
        <v>4806</v>
      </c>
      <c r="H26" s="22" t="n">
        <f aca="false">SUM(H14:H25)</f>
        <v>5008.3</v>
      </c>
      <c r="I26" s="22" t="n">
        <f aca="false">SUM(I14:I25)</f>
        <v>5137.5</v>
      </c>
      <c r="J26" s="22" t="n">
        <f aca="false">SUM(J14:J25)</f>
        <v>5339.8</v>
      </c>
      <c r="K26" s="22" t="n">
        <f aca="false">SUM(K14:K25)</f>
        <v>5469</v>
      </c>
      <c r="L26" s="22" t="n">
        <f aca="false">SUM(L14:L25)</f>
        <v>5469</v>
      </c>
      <c r="M26" s="22" t="n">
        <f aca="false">SUM(M14:M25)</f>
        <v>5469</v>
      </c>
      <c r="N26" s="22" t="n">
        <f aca="false">SUM(N14:N25)</f>
        <v>79916.6370769231</v>
      </c>
      <c r="O26" s="22" t="n">
        <f aca="false">SUM(O14:O25)</f>
        <v>89100.9786769231</v>
      </c>
    </row>
    <row r="27" customFormat="false" ht="15" hidden="false" customHeight="false" outlineLevel="0" collapsed="false">
      <c r="A27" s="20" t="s">
        <v>278</v>
      </c>
      <c r="B27" s="22" t="n">
        <f aca="false">B12-B26</f>
        <v>10151</v>
      </c>
      <c r="C27" s="22" t="n">
        <f aca="false">C12-C26</f>
        <v>-315</v>
      </c>
      <c r="D27" s="22" t="n">
        <f aca="false">D12-D26</f>
        <v>-1310.8</v>
      </c>
      <c r="E27" s="22" t="n">
        <f aca="false">E12-E26</f>
        <v>-1440</v>
      </c>
      <c r="F27" s="22" t="n">
        <f aca="false">F12-F26</f>
        <v>-630.8</v>
      </c>
      <c r="G27" s="22" t="n">
        <f aca="false">G12-G26</f>
        <v>-760</v>
      </c>
      <c r="H27" s="22" t="n">
        <f aca="false">H12-H26</f>
        <v>49.1999999999998</v>
      </c>
      <c r="I27" s="22" t="n">
        <f aca="false">I12-I26</f>
        <v>-80</v>
      </c>
      <c r="J27" s="22" t="n">
        <f aca="false">J12-J26</f>
        <v>729.2</v>
      </c>
      <c r="K27" s="22" t="n">
        <f aca="false">K12-K26</f>
        <v>600</v>
      </c>
      <c r="L27" s="22" t="n">
        <f aca="false">L12-L26</f>
        <v>600</v>
      </c>
      <c r="M27" s="22" t="n">
        <f aca="false">M12-M26</f>
        <v>600</v>
      </c>
      <c r="N27" s="22" t="n">
        <f aca="false">N12-N26</f>
        <v>5049.36292307693</v>
      </c>
      <c r="O27" s="22" t="n">
        <f aca="false">O12-O26</f>
        <v>8003.02132307693</v>
      </c>
    </row>
    <row r="28" customFormat="false" ht="15" hidden="false" customHeight="false" outlineLevel="0" collapsed="false">
      <c r="A28" s="20" t="s">
        <v>279</v>
      </c>
      <c r="B28" s="22" t="n">
        <f aca="false">B5+B27</f>
        <v>10151</v>
      </c>
      <c r="C28" s="22" t="n">
        <f aca="false">C5+C27</f>
        <v>9836</v>
      </c>
      <c r="D28" s="22" t="n">
        <f aca="false">D5+D27</f>
        <v>8525.2</v>
      </c>
      <c r="E28" s="22" t="n">
        <f aca="false">E5+E27</f>
        <v>7085.2</v>
      </c>
      <c r="F28" s="22" t="n">
        <f aca="false">F5+F27</f>
        <v>6454.4</v>
      </c>
      <c r="G28" s="22" t="n">
        <f aca="false">G5+G27</f>
        <v>5694.4</v>
      </c>
      <c r="H28" s="22" t="n">
        <f aca="false">H5+H27</f>
        <v>5743.6</v>
      </c>
      <c r="I28" s="22" t="n">
        <f aca="false">I5+I27</f>
        <v>5663.6</v>
      </c>
      <c r="J28" s="22" t="n">
        <f aca="false">J5+J27</f>
        <v>6392.8</v>
      </c>
      <c r="K28" s="22" t="n">
        <f aca="false">K5+K27</f>
        <v>6992.8</v>
      </c>
      <c r="L28" s="22" t="n">
        <f aca="false">L5+L27</f>
        <v>7592.8</v>
      </c>
      <c r="M28" s="22" t="n">
        <f aca="false">M5+M27</f>
        <v>8192.8</v>
      </c>
      <c r="N28" s="22" t="n">
        <f aca="false">N5+N27</f>
        <v>13242.1629230769</v>
      </c>
      <c r="O28" s="22" t="n">
        <f aca="false">O5+O27</f>
        <v>21245.1842461539</v>
      </c>
    </row>
    <row r="30" customFormat="false" ht="15" hidden="false" customHeight="false" outlineLevel="0" collapsed="false">
      <c r="A30" s="20" t="s">
        <v>280</v>
      </c>
      <c r="B30" s="22" t="n">
        <f aca="false">MIN(B28:M28)</f>
        <v>5663.6</v>
      </c>
    </row>
    <row r="31" customFormat="false" ht="15" hidden="false" customHeight="false" outlineLevel="0" collapsed="false">
      <c r="A31" s="4" t="s">
        <v>281</v>
      </c>
      <c r="B31" s="19" t="n">
        <f aca="false">M28</f>
        <v>8192.8</v>
      </c>
      <c r="C31" s="19" t="n">
        <f aca="false">N28</f>
        <v>13242.1629230769</v>
      </c>
      <c r="D31" s="19" t="n">
        <f aca="false">O28</f>
        <v>21245.1842461539</v>
      </c>
    </row>
    <row r="33" customFormat="false" ht="15" hidden="false" customHeight="false" outlineLevel="0" collapsed="false">
      <c r="A33" s="6" t="s">
        <v>282</v>
      </c>
    </row>
    <row r="34" customFormat="false" ht="15" hidden="false" customHeight="false" outlineLevel="0" collapsed="false">
      <c r="A34" s="4" t="s">
        <v>283</v>
      </c>
      <c r="B34" s="19" t="n">
        <f aca="false">B27-B9-B10-B11+B17+B18</f>
        <v>-3849</v>
      </c>
      <c r="C34" s="19" t="n">
        <f aca="false">C27-C9-C10-C11</f>
        <v>-315</v>
      </c>
      <c r="D34" s="19" t="n">
        <f aca="false">D27-D9-D10-D11</f>
        <v>-1310.8</v>
      </c>
      <c r="E34" s="19" t="n">
        <f aca="false">E27-E9-E10-E11</f>
        <v>-1440</v>
      </c>
      <c r="F34" s="19" t="n">
        <f aca="false">F27-F9-F10-F11</f>
        <v>-630.8</v>
      </c>
      <c r="G34" s="19" t="n">
        <f aca="false">G27-G9-G10-G11</f>
        <v>-760</v>
      </c>
      <c r="H34" s="19" t="n">
        <f aca="false">H27-H9-H10-H11</f>
        <v>49.1999999999998</v>
      </c>
      <c r="I34" s="19" t="n">
        <f aca="false">I27-I9-I10-I11</f>
        <v>-80</v>
      </c>
      <c r="J34" s="19" t="n">
        <f aca="false">J27-J9-J10-J11</f>
        <v>729.2</v>
      </c>
      <c r="K34" s="19" t="n">
        <f aca="false">K27-K9-K10-K11</f>
        <v>600</v>
      </c>
      <c r="L34" s="19" t="n">
        <f aca="false">L27-L9-L10-L11</f>
        <v>600</v>
      </c>
      <c r="M34" s="19" t="n">
        <f aca="false">M27-M9-M10-M11</f>
        <v>600</v>
      </c>
      <c r="N34" s="19" t="n">
        <f aca="false">N27-N9-N10-N11</f>
        <v>5049.36292307693</v>
      </c>
      <c r="O34" s="19" t="n">
        <f aca="false">O27-O9-O10-O11</f>
        <v>8003.02132307693</v>
      </c>
    </row>
    <row r="35" customFormat="false" ht="15" hidden="false" customHeight="false" outlineLevel="0" collapsed="false">
      <c r="A35" s="4" t="s">
        <v>284</v>
      </c>
      <c r="B35" s="19" t="n">
        <f aca="false">B34</f>
        <v>-3849</v>
      </c>
      <c r="C35" s="19" t="n">
        <f aca="false">B35+C34</f>
        <v>-4164</v>
      </c>
      <c r="D35" s="19" t="n">
        <f aca="false">C35+D34</f>
        <v>-5474.8</v>
      </c>
      <c r="E35" s="19" t="n">
        <f aca="false">D35+E34</f>
        <v>-6914.8</v>
      </c>
      <c r="F35" s="19" t="n">
        <f aca="false">E35+F34</f>
        <v>-7545.6</v>
      </c>
      <c r="G35" s="19" t="n">
        <f aca="false">F35+G34</f>
        <v>-8305.6</v>
      </c>
      <c r="H35" s="19" t="n">
        <f aca="false">G35+H34</f>
        <v>-8256.4</v>
      </c>
      <c r="I35" s="19" t="n">
        <f aca="false">H35+I34</f>
        <v>-8336.4</v>
      </c>
      <c r="J35" s="19" t="n">
        <f aca="false">I35+J34</f>
        <v>-7607.2</v>
      </c>
      <c r="K35" s="19" t="n">
        <f aca="false">J35+K34</f>
        <v>-7007.2</v>
      </c>
      <c r="L35" s="19" t="n">
        <f aca="false">K35+L34</f>
        <v>-6407.2</v>
      </c>
      <c r="M35" s="19" t="n">
        <f aca="false">L35+M34</f>
        <v>-5807.2</v>
      </c>
      <c r="N35" s="19" t="n">
        <f aca="false">M35+N34</f>
        <v>-757.837076923072</v>
      </c>
      <c r="O35" s="19" t="n">
        <f aca="false">N35+O34</f>
        <v>7245.18424615386</v>
      </c>
    </row>
    <row r="37" customFormat="false" ht="15" hidden="false" customHeight="false" outlineLevel="0" collapsed="false">
      <c r="A37" s="4" t="s">
        <v>285</v>
      </c>
      <c r="B37" s="19" t="n">
        <f aca="false">MAX(0,-MIN(B35:N35))</f>
        <v>8336.4</v>
      </c>
    </row>
    <row r="39" customFormat="false" ht="15" hidden="false" customHeight="false" outlineLevel="0" collapsed="false">
      <c r="A39" s="4" t="s">
        <v>286</v>
      </c>
      <c r="B39" s="19" t="n">
        <f aca="false">Umsatz!C18-Umsatz!C26-Kosten!C17-Kosten!C27-(Rentabilität!$B$11+Rentabilität!$B$12)/12</f>
        <v>-197.692307692308</v>
      </c>
      <c r="C39" s="19" t="n">
        <f aca="false">Umsatz!D18-Umsatz!D26-Kosten!D17-Kosten!D27-(Rentabilität!$B$11+Rentabilität!$B$12)/12</f>
        <v>-197.692307692308</v>
      </c>
      <c r="D39" s="19" t="n">
        <f aca="false">Umsatz!E18-Umsatz!E26-Kosten!E17-Kosten!E27-(Rentabilität!$B$11+Rentabilität!$B$12)/12</f>
        <v>482.307692307692</v>
      </c>
      <c r="E39" s="19" t="n">
        <f aca="false">Umsatz!F18-Umsatz!F26-Kosten!F17-Kosten!F27-(Rentabilität!$B$11+Rentabilität!$B$12)/12</f>
        <v>482.307692307692</v>
      </c>
      <c r="F39" s="19" t="n">
        <f aca="false">Umsatz!G18-Umsatz!G26-Kosten!G17-Kosten!G27-(Rentabilität!$B$11+Rentabilität!$B$12)/12</f>
        <v>1162.30769230769</v>
      </c>
      <c r="G39" s="19" t="n">
        <f aca="false">Umsatz!H18-Umsatz!H26-Kosten!H17-Kosten!H27-(Rentabilität!$B$11+Rentabilität!$B$12)/12</f>
        <v>1162.30769230769</v>
      </c>
      <c r="H39" s="19" t="n">
        <f aca="false">Umsatz!I18-Umsatz!I26-Kosten!I17-Kosten!I27-(Rentabilität!$B$11+Rentabilität!$B$12)/12</f>
        <v>1842.30769230769</v>
      </c>
      <c r="I39" s="19" t="n">
        <f aca="false">Umsatz!J18-Umsatz!J26-Kosten!J17-Kosten!J27-(Rentabilität!$B$11+Rentabilität!$B$12)/12</f>
        <v>1842.30769230769</v>
      </c>
      <c r="J39" s="19" t="n">
        <f aca="false">Umsatz!K18-Umsatz!K26-Kosten!K17-Kosten!K27-(Rentabilität!$B$11+Rentabilität!$B$12)/12</f>
        <v>2522.30769230769</v>
      </c>
      <c r="K39" s="19" t="n">
        <f aca="false">Umsatz!L18-Umsatz!L26-Kosten!L17-Kosten!L27-(Rentabilität!$B$11+Rentabilität!$B$12)/12</f>
        <v>2522.30769230769</v>
      </c>
      <c r="L39" s="19" t="n">
        <f aca="false">Umsatz!M18-Umsatz!M26-Kosten!M17-Kosten!M27-(Rentabilität!$B$11+Rentabilität!$B$12)/12</f>
        <v>2522.30769230769</v>
      </c>
      <c r="M39" s="19" t="n">
        <f aca="false">Umsatz!N18-Umsatz!N26-Kosten!N17-Kosten!N27-(Rentabilität!$B$11+Rentabilität!$B$12)/12</f>
        <v>2522.30769230769</v>
      </c>
    </row>
    <row r="40" customFormat="false" ht="15" hidden="false" customHeight="false" outlineLevel="0" collapsed="false">
      <c r="A40" s="4" t="s">
        <v>287</v>
      </c>
      <c r="B40" s="19" t="n">
        <f aca="false">B39-B24</f>
        <v>-2427.69230769231</v>
      </c>
      <c r="C40" s="19" t="n">
        <f aca="false">C39-C24</f>
        <v>-2427.69230769231</v>
      </c>
      <c r="D40" s="19" t="n">
        <f aca="false">D39-D24</f>
        <v>-1747.69230769231</v>
      </c>
      <c r="E40" s="19" t="n">
        <f aca="false">E39-E24</f>
        <v>-1747.69230769231</v>
      </c>
      <c r="F40" s="19" t="n">
        <f aca="false">F39-F24</f>
        <v>-1067.69230769231</v>
      </c>
      <c r="G40" s="19" t="n">
        <f aca="false">G39-G24</f>
        <v>-1067.69230769231</v>
      </c>
      <c r="H40" s="19" t="n">
        <f aca="false">H39-H24</f>
        <v>-387.692307692308</v>
      </c>
      <c r="I40" s="19" t="n">
        <f aca="false">I39-I24</f>
        <v>-387.692307692308</v>
      </c>
      <c r="J40" s="19" t="n">
        <f aca="false">J39-J24</f>
        <v>292.307692307692</v>
      </c>
      <c r="K40" s="19" t="n">
        <f aca="false">K39-K24</f>
        <v>292.307692307692</v>
      </c>
      <c r="L40" s="19" t="n">
        <f aca="false">L39-L24</f>
        <v>292.307692307692</v>
      </c>
      <c r="M40" s="19" t="n">
        <f aca="false">M39-M24</f>
        <v>292.307692307692</v>
      </c>
    </row>
    <row r="41" customFormat="false" ht="15" hidden="false" customHeight="false" outlineLevel="0" collapsed="false">
      <c r="A41" s="4" t="s">
        <v>288</v>
      </c>
      <c r="B41" s="11" t="n">
        <f aca="false">IF(B39&gt;=0,1,99)</f>
        <v>99</v>
      </c>
      <c r="C41" s="11" t="n">
        <f aca="false">IF(C39&gt;=0,2,99)</f>
        <v>99</v>
      </c>
      <c r="D41" s="11" t="n">
        <f aca="false">IF(D39&gt;=0,3,99)</f>
        <v>3</v>
      </c>
      <c r="E41" s="11" t="n">
        <f aca="false">IF(E39&gt;=0,4,99)</f>
        <v>4</v>
      </c>
      <c r="F41" s="11" t="n">
        <f aca="false">IF(F39&gt;=0,5,99)</f>
        <v>5</v>
      </c>
      <c r="G41" s="11" t="n">
        <f aca="false">IF(G39&gt;=0,6,99)</f>
        <v>6</v>
      </c>
      <c r="H41" s="11" t="n">
        <f aca="false">IF(H39&gt;=0,7,99)</f>
        <v>7</v>
      </c>
      <c r="I41" s="11" t="n">
        <f aca="false">IF(I39&gt;=0,8,99)</f>
        <v>8</v>
      </c>
      <c r="J41" s="11" t="n">
        <f aca="false">IF(J39&gt;=0,9,99)</f>
        <v>9</v>
      </c>
      <c r="K41" s="11" t="n">
        <f aca="false">IF(K39&gt;=0,10,99)</f>
        <v>10</v>
      </c>
      <c r="L41" s="11" t="n">
        <f aca="false">IF(L39&gt;=0,11,99)</f>
        <v>11</v>
      </c>
      <c r="M41" s="11" t="n">
        <f aca="false">IF(M39&gt;=0,12,99)</f>
        <v>12</v>
      </c>
    </row>
    <row r="42" customFormat="false" ht="15" hidden="false" customHeight="false" outlineLevel="0" collapsed="false">
      <c r="A42" s="4" t="s">
        <v>289</v>
      </c>
      <c r="B42" s="11" t="n">
        <f aca="false">MIN(B41:M41)</f>
        <v>3</v>
      </c>
    </row>
    <row r="43" customFormat="false" ht="15" hidden="false" customHeight="false" outlineLevel="0" collapsed="false">
      <c r="A43" s="4" t="s">
        <v>290</v>
      </c>
      <c r="B43" s="11" t="n">
        <f aca="false">MIN(B44:M44)</f>
        <v>9</v>
      </c>
    </row>
    <row r="44" customFormat="false" ht="15" hidden="false" customHeight="false" outlineLevel="0" collapsed="false">
      <c r="A44" s="4" t="s">
        <v>291</v>
      </c>
      <c r="B44" s="11" t="n">
        <f aca="false">IF(B40&gt;=0,1,99)</f>
        <v>99</v>
      </c>
      <c r="C44" s="11" t="n">
        <f aca="false">IF(C40&gt;=0,2,99)</f>
        <v>99</v>
      </c>
      <c r="D44" s="11" t="n">
        <f aca="false">IF(D40&gt;=0,3,99)</f>
        <v>99</v>
      </c>
      <c r="E44" s="11" t="n">
        <f aca="false">IF(E40&gt;=0,4,99)</f>
        <v>99</v>
      </c>
      <c r="F44" s="11" t="n">
        <f aca="false">IF(F40&gt;=0,5,99)</f>
        <v>99</v>
      </c>
      <c r="G44" s="11" t="n">
        <f aca="false">IF(G40&gt;=0,6,99)</f>
        <v>99</v>
      </c>
      <c r="H44" s="11" t="n">
        <f aca="false">IF(H40&gt;=0,7,99)</f>
        <v>99</v>
      </c>
      <c r="I44" s="11" t="n">
        <f aca="false">IF(I40&gt;=0,8,99)</f>
        <v>99</v>
      </c>
      <c r="J44" s="11" t="n">
        <f aca="false">IF(J40&gt;=0,9,99)</f>
        <v>9</v>
      </c>
      <c r="K44" s="11" t="n">
        <f aca="false">IF(K40&gt;=0,10,99)</f>
        <v>10</v>
      </c>
      <c r="L44" s="11" t="n">
        <f aca="false">IF(L40&gt;=0,11,99)</f>
        <v>11</v>
      </c>
      <c r="M44" s="11" t="n">
        <f aca="false">IF(M40&gt;=0,12,99)</f>
        <v>12</v>
      </c>
    </row>
    <row r="46" customFormat="false" ht="39.75" hidden="false" customHeight="true" outlineLevel="0" collapsed="false">
      <c r="A46" s="23" t="s">
        <v>292</v>
      </c>
      <c r="B46" s="23"/>
      <c r="C46" s="23"/>
      <c r="D46" s="23"/>
      <c r="E46" s="23"/>
      <c r="F46" s="23"/>
      <c r="G46" s="23"/>
      <c r="H46" s="23"/>
      <c r="I46" s="23"/>
      <c r="J46" s="23"/>
      <c r="K46" s="23"/>
      <c r="L46" s="23"/>
      <c r="M46" s="23"/>
      <c r="N46" s="23"/>
      <c r="O46" s="23"/>
    </row>
  </sheetData>
  <sheetProtection sheet="true" formatCells="false" formatColumns="false" formatRows="false"/>
  <mergeCells count="1">
    <mergeCell ref="A46:O46"/>
  </mergeCells>
  <dataValidations count="1">
    <dataValidation allowBlank="true" error="Bitte einen Betrag ab 0 eingeben." errorStyle="stop" operator="greaterThanOrEqual" showDropDown="false" showErrorMessage="true" showInputMessage="false" sqref="B19:O19" type="decimal">
      <formula1>0</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Vorlage: arbeitdigital.de/gruenden/finanzplan/ · für den eigenen Plan frei nutzbar, Fußzeile darf entfernt werden&amp;R&amp;8 &amp;A · Seite &amp;P</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12"/>
    <col collapsed="false" customWidth="true" hidden="false" outlineLevel="0" max="3" min="3" style="0" width="14"/>
    <col collapsed="false" customWidth="true" hidden="false" outlineLevel="0" max="4" min="4" style="0" width="66"/>
  </cols>
  <sheetData>
    <row r="1" customFormat="false" ht="17.35" hidden="false" customHeight="false" outlineLevel="0" collapsed="false">
      <c r="A1" s="1" t="s">
        <v>293</v>
      </c>
    </row>
    <row r="2" customFormat="false" ht="15" hidden="false" customHeight="false" outlineLevel="0" collapsed="false">
      <c r="A2" s="15" t="s">
        <v>294</v>
      </c>
    </row>
    <row r="3" customFormat="false" ht="15" hidden="false" customHeight="false" outlineLevel="0" collapsed="false">
      <c r="A3" s="3" t="s">
        <v>295</v>
      </c>
      <c r="B3" s="28" t="str">
        <f aca="false">IF(COUNTIF(B6:B16,"nein")=0,"alle Prüfpunkte erfüllt",COUNTIF(B6:B16,"nein")&amp;" Prüfpunkt(e) mit „nein“")</f>
        <v>alle Prüfpunkte erfüllt</v>
      </c>
      <c r="C3" s="28"/>
      <c r="D3" s="28"/>
    </row>
    <row r="5" customFormat="false" ht="15" hidden="false" customHeight="false" outlineLevel="0" collapsed="false">
      <c r="A5" s="17" t="s">
        <v>296</v>
      </c>
      <c r="B5" s="17" t="s">
        <v>297</v>
      </c>
      <c r="C5" s="17" t="s">
        <v>147</v>
      </c>
      <c r="D5" s="17" t="s">
        <v>298</v>
      </c>
    </row>
    <row r="6" customFormat="false" ht="27.75" hidden="false" customHeight="true" outlineLevel="0" collapsed="false">
      <c r="A6" s="4" t="s">
        <v>299</v>
      </c>
      <c r="B6" s="29" t="str">
        <f aca="false">IF(Finanzierung!B12&gt;=-0.5,"ja","nein")</f>
        <v>ja</v>
      </c>
      <c r="C6" s="25" t="n">
        <f aca="false">Finanzierung!B12</f>
        <v>0</v>
      </c>
      <c r="D6" s="6" t="s">
        <v>300</v>
      </c>
    </row>
    <row r="7" customFormat="false" ht="27.75" hidden="false" customHeight="true" outlineLevel="0" collapsed="false">
      <c r="A7" s="4" t="s">
        <v>301</v>
      </c>
      <c r="B7" s="29" t="str">
        <f aca="false">IF(Liquidität!B30&gt;=0,"ja","nein")</f>
        <v>ja</v>
      </c>
      <c r="C7" s="25" t="n">
        <f aca="false">Liquidität!B30</f>
        <v>5663.6</v>
      </c>
      <c r="D7" s="6" t="s">
        <v>302</v>
      </c>
    </row>
    <row r="8" customFormat="false" ht="27.75" hidden="false" customHeight="true" outlineLevel="0" collapsed="false">
      <c r="A8" s="4" t="s">
        <v>303</v>
      </c>
      <c r="B8" s="29" t="str">
        <f aca="false">IF(MIN(Liquidität!N28:O28)&gt;=0,"ja","nein")</f>
        <v>ja</v>
      </c>
      <c r="C8" s="25" t="n">
        <f aca="false">MIN(Liquidität!N28:O28)</f>
        <v>13242.1629230769</v>
      </c>
      <c r="D8" s="6" t="s">
        <v>304</v>
      </c>
    </row>
    <row r="9" customFormat="false" ht="27.75" hidden="false" customHeight="true" outlineLevel="0" collapsed="false">
      <c r="A9" s="4" t="s">
        <v>305</v>
      </c>
      <c r="B9" s="29" t="str">
        <f aca="false">IF(Kapitalbedarf!B26&gt;=Kapitalbedarf!D26-0.5,"ja","nein")</f>
        <v>ja</v>
      </c>
      <c r="C9" s="25" t="n">
        <f aca="false">Kapitalbedarf!B26-Kapitalbedarf!D26</f>
        <v>663.599999999999</v>
      </c>
      <c r="D9" s="6" t="s">
        <v>306</v>
      </c>
    </row>
    <row r="10" customFormat="false" ht="27.75" hidden="false" customHeight="true" outlineLevel="0" collapsed="false">
      <c r="A10" s="4" t="s">
        <v>307</v>
      </c>
      <c r="B10" s="29" t="str">
        <f aca="false">IF(OR(Rentabilität!C33="nein",Rentabilität!D33="nein"),"nein","ja")</f>
        <v>ja</v>
      </c>
      <c r="C10" s="25" t="n">
        <f aca="false">MIN(Rentabilität!C31-Rentabilität!C32,Rentabilität!D31-Rentabilität!D32)</f>
        <v>2559.63492307693</v>
      </c>
      <c r="D10" s="6" t="s">
        <v>308</v>
      </c>
    </row>
    <row r="11" customFormat="false" ht="27.75" hidden="false" customHeight="true" outlineLevel="0" collapsed="false">
      <c r="A11" s="4" t="s">
        <v>309</v>
      </c>
      <c r="B11" s="29" t="str">
        <f aca="false">IF(Start!$B$22="ja","entfällt",IF(Rentabilität!D18&gt;=0,"ja","nein"))</f>
        <v>ja</v>
      </c>
      <c r="C11" s="25" t="n">
        <f aca="false">Rentabilität!D18</f>
        <v>9581.14979076923</v>
      </c>
      <c r="D11" s="6" t="s">
        <v>310</v>
      </c>
    </row>
    <row r="12" customFormat="false" ht="27.75" hidden="false" customHeight="true" outlineLevel="0" collapsed="false">
      <c r="A12" s="4" t="s">
        <v>311</v>
      </c>
      <c r="B12" s="29" t="str">
        <f aca="false">IF(Rentabilität!D15&gt;0,"ja","nein")</f>
        <v>ja</v>
      </c>
      <c r="C12" s="25" t="n">
        <f aca="false">Rentabilität!D15</f>
        <v>45888.7323076923</v>
      </c>
      <c r="D12" s="6" t="s">
        <v>312</v>
      </c>
    </row>
    <row r="13" customFormat="false" ht="27.75" hidden="false" customHeight="true" outlineLevel="0" collapsed="false">
      <c r="A13" s="4" t="s">
        <v>313</v>
      </c>
      <c r="B13" s="29" t="str">
        <f aca="false">IF(Start!$B$20=0,"entfällt",IF(AND(Umsatz!O18&lt;=Start!$B$18,Umsatz!P18&lt;=Start!$B$19,Umsatz!Q18&lt;=Start!$B$19,Umsatz!P18&lt;=Start!$B$18),"ja","nein"))</f>
        <v>entfällt</v>
      </c>
      <c r="C13" s="25" t="n">
        <f aca="false">Umsatz!O18</f>
        <v>44200</v>
      </c>
      <c r="D13" s="6" t="s">
        <v>314</v>
      </c>
    </row>
    <row r="14" customFormat="false" ht="27.75" hidden="false" customHeight="true" outlineLevel="0" collapsed="false">
      <c r="A14" s="4" t="s">
        <v>315</v>
      </c>
      <c r="B14" s="29" t="str">
        <f aca="false">IF(SUMPRODUCT((Kapitalbedarf!B6:B10&gt;0)*(Kapitalbedarf!C6:C10&lt;1))=0,"ja","nein")</f>
        <v>ja</v>
      </c>
      <c r="D14" s="6" t="s">
        <v>316</v>
      </c>
    </row>
    <row r="15" customFormat="false" ht="27.75" hidden="false" customHeight="true" outlineLevel="0" collapsed="false">
      <c r="A15" s="4" t="s">
        <v>317</v>
      </c>
      <c r="B15" s="29" t="str">
        <f aca="false">IF(SUMPRODUCT((Finanzierung!B6:B7&gt;0)*(Finanzierung!D6:D7&lt;=Finanzierung!E6:E7))=0,"ja","nein")</f>
        <v>ja</v>
      </c>
      <c r="D15" s="6" t="s">
        <v>318</v>
      </c>
    </row>
    <row r="16" customFormat="false" ht="27.75" hidden="false" customHeight="true" outlineLevel="0" collapsed="false">
      <c r="A16" s="4" t="s">
        <v>319</v>
      </c>
      <c r="B16" s="29" t="str">
        <f aca="false">IF(AND(Start!$B$14=0,Start!$B$15=0),"ja","nein")</f>
        <v>ja</v>
      </c>
      <c r="D16" s="6" t="s">
        <v>320</v>
      </c>
    </row>
    <row r="18" customFormat="false" ht="42" hidden="false" customHeight="true" outlineLevel="0" collapsed="false">
      <c r="A18" s="23" t="s">
        <v>321</v>
      </c>
      <c r="B18" s="23"/>
      <c r="C18" s="23"/>
      <c r="D18" s="23"/>
    </row>
  </sheetData>
  <sheetProtection sheet="true" formatCells="false" formatColumns="false" formatRows="false"/>
  <mergeCells count="2">
    <mergeCell ref="B3:D3"/>
    <mergeCell ref="A18:D18"/>
  </mergeCells>
  <conditionalFormatting sqref="B6:B16">
    <cfRule type="cellIs" priority="2" operator="equal" aboveAverage="0" equalAverage="0" bottom="0" percent="0" rank="0" text="" dxfId="0">
      <formula>"ja"</formula>
    </cfRule>
    <cfRule type="cellIs" priority="3" operator="equal" aboveAverage="0" equalAverage="0" bottom="0" percent="0" rank="0" text="" dxfId="1">
      <formula>"nein"</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Vorlage: arbeitdigital.de/gruenden/finanzplan/ · für den eigenen Plan frei nutzbar, Fußzeile darf entfernt werden&amp;R&amp;8 &amp;A · 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2026-11-02T13:26:57Z</dcterms:created>
  <dc:creator>arbeitdigital</dc:creator>
  <dc:description>Für den eigenen Finanzplan frei nutzbar. Weitergabe als Vorlage nur mit Quelle arbeitdigital.de/gruenden/finanzplan/</dc:description>
  <dc:language>en-US</dc:language>
  <cp:lastModifiedBy/>
  <dcterms:modified xsi:type="dcterms:W3CDTF">2026-11-02T15:26:58Z</dcterms:modified>
  <cp:revision>1</cp:revision>
  <dc:subject/>
  <dc:title>Finanzplan-Vorlage</dc:title>
  <cp:version>3</cp:version>
</cp:coreProperties>
</file>

<file path=docProps/custom.xml><?xml version="1.0" encoding="utf-8"?>
<Properties xmlns="http://schemas.openxmlformats.org/officeDocument/2006/custom-properties" xmlns:vt="http://schemas.openxmlformats.org/officeDocument/2006/docPropsVTypes"/>
</file>