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5.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sheetId="1" state="visible" r:id="rId3"/>
    <sheet name="Offene Posten" sheetId="2" state="visible" r:id="rId4"/>
    <sheet name="Zahlungen" sheetId="3" state="visible" r:id="rId5"/>
    <sheet name="Einzelzahlungen" sheetId="4" state="visible" r:id="rId6"/>
    <sheet name="13 Wochen" sheetId="5" state="visible" r:id="rId7"/>
    <sheet name="12 Monate" sheetId="6" state="visible" r:id="rId8"/>
    <sheet name="Soll-Ist" sheetId="7" state="visible" r:id="rId9"/>
    <sheet name="Engpass" sheetId="8" state="visible" r:id="rId10"/>
    <sheet name="Listen" sheetId="9" state="hidden" r:id="rId11"/>
  </sheets>
  <definedNames>
    <definedName function="false" hidden="false" localSheetId="5" name="_xlnm.Print_Titles" vbProcedure="false">'12 Monate'!$A:$A,'12 Monate'!$4:$5</definedName>
    <definedName function="false" hidden="false" localSheetId="4" name="_xlnm.Print_Titles" vbProcedure="false">'13 Wochen'!$A:$A,'13 Wochen'!$4:$5</definedName>
    <definedName function="false" hidden="false" localSheetId="3" name="_xlnm.Print_Titles" vbProcedure="false">Einzelzahlungen!$4:$4</definedName>
    <definedName function="false" hidden="false" localSheetId="7" name="_xlnm.Print_Titles" vbProcedure="false">Engpass!$4:$4</definedName>
    <definedName function="false" hidden="false" localSheetId="1" name="_xlnm.Print_Titles" vbProcedure="false">'Offene Posten'!$4:$4</definedName>
    <definedName function="false" hidden="false" localSheetId="6" name="_xlnm.Print_Titles" vbProcedure="false">'Soll-Ist'!$A:$A,'Soll-Ist'!$5:$5</definedName>
    <definedName function="false" hidden="false" localSheetId="2" name="_xlnm.Print_Area" vbProcedure="false">Zahlungen!$A$1:$F$49</definedName>
    <definedName function="false" hidden="false" localSheetId="2" name="_xlnm.Print_Titles" vbProcedure="false">Zahlungen!$5:$5</definedName>
    <definedName function="false" hidden="false" localSheetId="4" name="_xlnm.Print_Titles" vbProcedure="false">'13 Wochen'!$4:$5,'13 Wochen'!$A:$A</definedName>
    <definedName function="false" hidden="false" localSheetId="5" name="_xlnm.Print_Titles" vbProcedure="false">'12 Monate'!$4:$5,'12 Monate'!$A:$A</definedName>
    <definedName function="false" hidden="false" localSheetId="6" name="_xlnm.Print_Titles" vbProcedure="false">'Soll-Ist'!$5:$5,'Soll-Ist'!$A:$A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<sst xmlns="http://schemas.openxmlformats.org/spreadsheetml/2006/main" count="304" uniqueCount="187">
  <si>
    <t xml:space="preserve">Liquiditätsplan-Vorlage für den laufenden Betrieb</t>
  </si>
  <si>
    <t xml:space="preserve">Nutzung: Für Ihren eigenen Liquiditätsplan frei nutzbar, auch ohne Quellenangabe; die Fußzeile dürfen Sie ändern oder löschen. Wer die Vorlage selbst als Vorlage weitergibt oder veröffentlicht, nennt dabei die Quelle: arbeitdigital.de/fuehren/finanzen/liquiditaetsplanung/</t>
  </si>
  <si>
    <t xml:space="preserve">Einstellungen</t>
  </si>
  <si>
    <t xml:space="preserve">Name des Betriebs</t>
  </si>
  <si>
    <t xml:space="preserve">Nur für Ihre Unterlagen.</t>
  </si>
  <si>
    <t xml:space="preserve">Planungsbeginn (ein Montag)</t>
  </si>
  <si>
    <t xml:space="preserve">Vorbelegt: Montag dieser Woche. Tragen Sie ein festes Datum ein (einen Montag), sonst verschiebt sich der Plan jede Woche von selbst. Weiterrollen: siehe unten.</t>
  </si>
  <si>
    <t xml:space="preserve">Kontostand am Planungsbeginn</t>
  </si>
  <si>
    <t xml:space="preserve">Summe aller Geschäftskonten und der Kasse am Morgen dieses Montags, laut Kontoauszug. Ein überzogenes Konto als Minusbetrag.</t>
  </si>
  <si>
    <t xml:space="preserve">Zugesagte Kreditlinie (Kontokorrent)</t>
  </si>
  <si>
    <t xml:space="preserve">Rahmen, den die Bank zugesagt hat; 0, wenn keiner besteht. Zählt nicht als eigenes Geld, aber zum Spielraum.</t>
  </si>
  <si>
    <t xml:space="preserve">Zinssatz für die Kreditlinie (pro Jahr)</t>
  </si>
  <si>
    <t xml:space="preserve">Laut Kontovertrag. Die Vorlage schätzt daraus Zinsen, solange das Konto im Minus ist.</t>
  </si>
  <si>
    <t xml:space="preserve">Mindestpuffer auf dem Konto</t>
  </si>
  <si>
    <t xml:space="preserve">Betrag, der nie unterschritten werden soll, z. B. Löhne, Abgaben und Miete eines Monats. Darunter meldet der Plan „unter Puffer“.</t>
  </si>
  <si>
    <t xml:space="preserve">Härtetest: Kunden zahlen … Tage später</t>
  </si>
  <si>
    <t xml:space="preserve">Verschiebt offene Kundenrechnungen und einzelne erwartete Kundenzahlungen. z. B. 14. Für den normalen Plan 0.</t>
  </si>
  <si>
    <t xml:space="preserve">Härtetest: Kundenzahlungen niedriger um</t>
  </si>
  <si>
    <t xml:space="preserve">Kürzt regelmäßige und neue Kundenzahlungen (nicht die schon geschriebenen Rechnungen). Erscheint im Plan als eigene Zeile. z. B. 20 %. Für den normalen Plan 0 %.</t>
  </si>
  <si>
    <t xml:space="preserve">Planungsbeginn, mit dem gerechnet wird (ergibt sich)</t>
  </si>
  <si>
    <t xml:space="preserve">Immer der Montag der Woche. Ist das Feld oben leer, rechnet die Vorlage mit dieser Woche und zeigt in den Plänen einen Hinweis.</t>
  </si>
  <si>
    <t xml:space="preserve">Beispieldaten noch enthalten?</t>
  </si>
  <si>
    <t xml:space="preserve">So nutzen Sie die Vorlage</t>
  </si>
  <si>
    <t xml:space="preserve">1. Einstellungen oben ausfüllen: Planungsbeginn (ein Montag), Kontostand an diesem Morgen, Kreditlinie, Zinssatz, Mindestpuffer.</t>
  </si>
  <si>
    <t xml:space="preserve">2. Blatt Offene Posten: alle offenen Kunden- und Lieferantenrechnungen mit Fälligkeit. Sie landen automatisch in der richtigen Woche und im richtigen Monat; Überfälliges in der ersten.</t>
  </si>
  <si>
    <t xml:space="preserve">3. Blatt Zahlungen: alles, was regelmäßig fällig wird – Löhne, Sozialversicherung, Miete, Raten, Versicherungen, Umsatzsteuer, Steuervorauszahlungen, auch regelmäßige Kundenzahlungen und geschätzte Umsätze für die späteren Monate – mit Betrag, Rhythmus und erstem Zahltag. Die Termine verteilt die Vorlage selbst.</t>
  </si>
  <si>
    <t xml:space="preserve">4. Blatt Einzelzahlungen: alles Einmalige mit Datum – erwartete Zahlungen aus neuen Aufträgen, Anschaffungen, Steuernachzahlungen, Kredit oder Einlage.</t>
  </si>
  <si>
    <t xml:space="preserve">5. Die Blätter 13 Wochen und 12 Monate rechnen sich selbst aus diesen drei Listen; dort gibt es nichts einzutragen. Ergebnis lesen: Zeile Status, Zusammenfassung und Kontrolle unter dem Plan. Bei „Engpass“ oder „unter Puffer“ helfen die Maßnahmen im Blatt Engpass.</t>
  </si>
  <si>
    <t xml:space="preserve">Weiterrollen (jede Woche): Planungsbeginn um 7 Tage erhöhen, Kontostand vom Kontoauszug neu eintragen, bezahlte Rechnungen in Offene Posten mit „x“ abhaken, erledigte Einzelzahlungen löschen. Weil alle Beträge ein Datum haben, rutscht nichts in die falsche Woche. Einzelzahlungen, deren Datum vor dem Planungsbeginn liegt, werden grau und nicht mehr gerechnet.</t>
  </si>
  <si>
    <t xml:space="preserve">Soll-Ist (jeden Monat): Planwert am Monatsanfang übernehmen, am Monatsende die Ist-Werte vom Kontoauszug eintragen, Abweichungen klären.</t>
  </si>
  <si>
    <t xml:space="preserve">Farben: blaue Schrift auf gelbem Grund = Eingabe. Schwarze Schrift = Formel, grüne Schrift = Wert aus einem anderen Blatt. Formeln sind gegen versehentliches Überschreiben geschützt (Blattschutz ohne Kennwort; aufheben über Überprüfen &gt; Blattschutz aufheben).</t>
  </si>
  <si>
    <t xml:space="preserve">Beispiel: Die Datei mit Beispiel enthält eine ausgedachte Maler-GmbH mit acht Beschäftigten, die einen Großauftrag vorfinanziert (wie auf arbeitdigital.de/fuehren/finanzen/liquiditaetsplanung/). Die Beispieldaten hängen am Planungsbeginn. Für den eigenen Plan die leere Datei nehmen oder alle gelben Felder überschreiben.</t>
  </si>
  <si>
    <t xml:space="preserve">Wichtig</t>
  </si>
  <si>
    <t xml:space="preserve">Alles brutto planen, also mit Umsatzsteuer, so wie das Geld fließt. Die Umsatzsteuer-Vorauszahlung steht als eigene Zahlung im Blatt Zahlungen: fällig am 10. nach Ablauf des Monats oder Quartals, mit Dauerfristverlängerung einen Monat später (§ 18 UStG, § 46 UStDV). Wer monatlich mit Dauerfristverlängerung abgibt, zahlt bis 10. Februar eine Sondervorauszahlung (1/11 der Vorauszahlungen des Vorjahres), die die Zahlung für Dezember mindert (§§ 47, 48 UStDV). Erstattungen vom Finanzamt unter „Steuererstattungen“. Kleinunternehmer tragen keine Umsatzsteuer ein.</t>
  </si>
  <si>
    <t xml:space="preserve">Sollversteuerung (Regelfall): Die Umsatzsteuer wird mit der Voranmeldung für den Monat der Leistung fällig, auch wenn der Kunde noch nicht gezahlt hat. Bei großen Rechnungen mit langem Zahlungsziel deshalb die Umsatzsteuer darauf als Einzelzahlung eintragen. Istversteuerung (Steuer erst nach Zahlungseingang) gibt es nur auf Antrag und bis zur Umsatzgrenze in § 20 UStG.</t>
  </si>
  <si>
    <t xml:space="preserve">Gezählt wird der Tag, an dem das Geld fließt, nicht das Rechnungsdatum. Lohnsteuer wird je nach Höhe monatlich, vierteljährlich oder jährlich angemeldet (§ 41a Abs. 2 EStG). Grundsteuer ist am 15.2., 15.5., 15.8. und 15.11. fällig (§ 28 GrStG). Kammer- und Rundfunkbeitrag gehören unter „Versicherungen und Beiträge“, die Umlagen U1/U2 und die Insolvenzgeldumlage zur Sozialversicherung.</t>
  </si>
  <si>
    <t xml:space="preserve">„Drittletzter Bankarbeitstag“ rechnet mit Montag bis Freitag; Feiertage kennt die Vorlage nicht. Zinsen der Kreditlinie sind eine Schätzung aus dem Kontostand am Anfang jeder Woche bzw. jedes Monats.</t>
  </si>
  <si>
    <t xml:space="preserve">Die Vorlage ersetzt keine Steuer- oder Finanzberatung. Zeigt der Plan trotz Maßnahmen einen Engpass, früh mit Bank und Steuerbüro sprechen.</t>
  </si>
  <si>
    <t xml:space="preserve">Offene Posten</t>
  </si>
  <si>
    <t xml:space="preserve">Offene Rechnungen mit Fälligkeit, Beträge brutto. Bezahlte mit „x“ abhaken (Zeile wird grau und nicht mehr gerechnet). Überfälliges zählt in der ersten Woche bzw. im ersten Monat.</t>
  </si>
  <si>
    <t xml:space="preserve">Kundenrechnungen (Forderungen)</t>
  </si>
  <si>
    <t xml:space="preserve">Kunde</t>
  </si>
  <si>
    <t xml:space="preserve">Rechnung</t>
  </si>
  <si>
    <t xml:space="preserve">Betrag brutto (€)</t>
  </si>
  <si>
    <t xml:space="preserve">fällig am</t>
  </si>
  <si>
    <t xml:space="preserve">Zahlung erwartet am (falls abweichend)</t>
  </si>
  <si>
    <t xml:space="preserve">bezahlt (x)</t>
  </si>
  <si>
    <t xml:space="preserve">im Plan am</t>
  </si>
  <si>
    <t xml:space="preserve">Summe offen (ohne bezahlte)</t>
  </si>
  <si>
    <t xml:space="preserve">„Zahlung erwartet am“ nur ausfüllen, wenn Sie mit einem anderen Tag rechnen als der Fälligkeit (Kunde zahlt erfahrungsgemäß später, Ratenzahlung). Ohne Fälligkeit zählt die Rechnung sofort. Gutschriften vom Rechnungsbetrag abziehen. Der Härtetest im Blatt Start verschiebt alle Kundenrechnungen.</t>
  </si>
  <si>
    <t xml:space="preserve">Lieferantenrechnungen (Verbindlichkeiten)</t>
  </si>
  <si>
    <t xml:space="preserve">Lieferant</t>
  </si>
  <si>
    <t xml:space="preserve">Zahlung geplant am (falls abweichend)</t>
  </si>
  <si>
    <t xml:space="preserve">Skonto: Wer mit Skonto zahlt, trägt den gekürzten Betrag und den Skontotag ein – aber nur, wenn das Geld dann sicher da ist.</t>
  </si>
  <si>
    <t xml:space="preserve">Regelmäßige Zahlungen</t>
  </si>
  <si>
    <t xml:space="preserve">Je Zeile eine wiederkehrende Zahlung: Kategorie, Betrag brutto, Rhythmus, erster Zahltag, optional letzter Zahltag. Einmalige Zahlungen ins Blatt Einzelzahlungen.</t>
  </si>
  <si>
    <t xml:space="preserve">Rechenspalten (nicht ausfüllen): Beträge je Woche und je Monat</t>
  </si>
  <si>
    <t xml:space="preserve">von</t>
  </si>
  <si>
    <t xml:space="preserve">bis</t>
  </si>
  <si>
    <t xml:space="preserve">Bezeichnung</t>
  </si>
  <si>
    <t xml:space="preserve">Kategorie</t>
  </si>
  <si>
    <t xml:space="preserve">Rhythmus</t>
  </si>
  <si>
    <t xml:space="preserve">erster Zahltag</t>
  </si>
  <si>
    <t xml:space="preserve">letzter Zahltag (optional)</t>
  </si>
  <si>
    <t xml:space="preserve">Code</t>
  </si>
  <si>
    <t xml:space="preserve">Rot = unvollständig (Kategorie, Rhythmus oder erster Zahltag fehlt), wird nicht gerechnet. Beträge immer positiv; Ein- oder Auszahlung ergibt sich aus der Kategorie. Termine am 29.–31. rechnet Excel in kürzeren Monaten auf den Monatsletzten. „Monatlich zum Monatsletzten“ und „am drittletzten Bankarbeitstag“ brauchen als ersten Zahltag nur das Startdatum.</t>
  </si>
  <si>
    <t xml:space="preserve">Typische Termine: Löhne zum Monatsende; Sozialversicherung am drittletzten Bankarbeitstag des Monats (§ 23 Abs. 1 SGB IV); Lohnsteuer und Umsatzsteuer am 10. nach Ablauf des Monats oder Quartals (§ 41a EStG, § 18 UStG); Einkommen- und Körperschaftsteuer am 10.3., 10.6., 10.9. und 10.12. (§ 37 EStG, § 31 KStG); Gewerbe- und Grundsteuer am 15.2., 15.5., 15.8. und 15.11. (§ 19 GewStG, § 28 GrStG). Für die Monate nach den ersten 13 Wochen geschätzte Umsätze als monatliche Zeile „Kundenzahlungen (neue Aufträge)“ eintragen.</t>
  </si>
  <si>
    <t xml:space="preserve">Einzelzahlungen</t>
  </si>
  <si>
    <t xml:space="preserve">Alles Einmalige mit Datum: erwartete Zahlungen aus neuen Aufträgen, Anschaffungen, Steuernachzahlungen, Kredit, Einlage. Erledigtes löschen; was vor dem Planungsbeginn liegt, wird grau und nicht gerechnet.</t>
  </si>
  <si>
    <t xml:space="preserve">Datum</t>
  </si>
  <si>
    <t xml:space="preserve">Grau = Datum liegt vor dem Planungsbeginn: bezahlt? Dann löschen. Noch offen? Neues Datum eintragen. Rot = Datum oder Kategorie fehlt. Erstattungen vom Finanzamt unter „Steuererstattungen“, Nachzahlungen aus Steuerbescheiden (fällig einen Monat nach Bekanntgabe, § 36 Abs. 4 EStG) unter „Steuernachzahlungen“.</t>
  </si>
  <si>
    <t xml:space="preserve">Liquiditätsplan: 13 Wochen</t>
  </si>
  <si>
    <t xml:space="preserve">Rollierend, Woche für Woche. Rechnet sich aus Offene Posten, Zahlungen und Einzelzahlungen; hier nichts eintragen. Beträge brutto.</t>
  </si>
  <si>
    <t xml:space="preserve">Summe</t>
  </si>
  <si>
    <t xml:space="preserve">Position</t>
  </si>
  <si>
    <t xml:space="preserve">Kontostand am Anfang</t>
  </si>
  <si>
    <t xml:space="preserve">Einzahlungen</t>
  </si>
  <si>
    <t xml:space="preserve">Kundenrechnungen (Offene Posten)</t>
  </si>
  <si>
    <t xml:space="preserve">Kundenzahlungen (regelmäßig)</t>
  </si>
  <si>
    <t xml:space="preserve">Kundenzahlungen (neue Aufträge)</t>
  </si>
  <si>
    <t xml:space="preserve">Kredit, Einlage, Zuschuss</t>
  </si>
  <si>
    <t xml:space="preserve">Steuererstattungen</t>
  </si>
  <si>
    <t xml:space="preserve">Sonstige Einzahlungen</t>
  </si>
  <si>
    <t xml:space="preserve">Härtetest: Abschlag auf Kundenzahlungen</t>
  </si>
  <si>
    <t xml:space="preserve">Summe Einzahlungen</t>
  </si>
  <si>
    <t xml:space="preserve">Auszahlungen</t>
  </si>
  <si>
    <t xml:space="preserve">Lieferantenrechnungen (Offene Posten)</t>
  </si>
  <si>
    <t xml:space="preserve">Löhne und Gehälter</t>
  </si>
  <si>
    <t xml:space="preserve">Sozialversicherung und Lohnsteuer</t>
  </si>
  <si>
    <t xml:space="preserve">Miete und Nebenkosten</t>
  </si>
  <si>
    <t xml:space="preserve">Material und Waren</t>
  </si>
  <si>
    <t xml:space="preserve">Fahrzeuge und Leasing</t>
  </si>
  <si>
    <t xml:space="preserve">Versicherungen und Beiträge</t>
  </si>
  <si>
    <t xml:space="preserve">Büro, Software, Telefon</t>
  </si>
  <si>
    <t xml:space="preserve">Steuerbüro und Beratung</t>
  </si>
  <si>
    <t xml:space="preserve">Kreditraten (Zins und Tilgung)</t>
  </si>
  <si>
    <t xml:space="preserve">Investitionen und Anschaffungen</t>
  </si>
  <si>
    <t xml:space="preserve">Umsatzsteuer</t>
  </si>
  <si>
    <t xml:space="preserve">Steuervorauszahlungen</t>
  </si>
  <si>
    <t xml:space="preserve">Steuernachzahlungen</t>
  </si>
  <si>
    <t xml:space="preserve">Privatentnahmen</t>
  </si>
  <si>
    <t xml:space="preserve">Sonstige Auszahlungen</t>
  </si>
  <si>
    <t xml:space="preserve">Zinsen Kreditlinie (Schätzung)</t>
  </si>
  <si>
    <t xml:space="preserve">Summe Auszahlungen</t>
  </si>
  <si>
    <t xml:space="preserve">Überschuss / Fehlbetrag</t>
  </si>
  <si>
    <t xml:space="preserve">Kontostand am Ende</t>
  </si>
  <si>
    <t xml:space="preserve">Kreditlinie</t>
  </si>
  <si>
    <t xml:space="preserve">Spielraum (Kontostand + Kreditlinie)</t>
  </si>
  <si>
    <t xml:space="preserve">Mindestpuffer</t>
  </si>
  <si>
    <t xml:space="preserve">Grenze der Kreditlinie</t>
  </si>
  <si>
    <t xml:space="preserve">Status</t>
  </si>
  <si>
    <t xml:space="preserve">Zusammenfassung</t>
  </si>
  <si>
    <t xml:space="preserve">Niedrigster Kontostand</t>
  </si>
  <si>
    <t xml:space="preserve">… in Woche</t>
  </si>
  <si>
    <t xml:space="preserve">Erste Woche mit Engpass (Spielraum unter 0)</t>
  </si>
  <si>
    <t xml:space="preserve">Erste Woche unter dem Mindestpuffer</t>
  </si>
  <si>
    <t xml:space="preserve">Kontostand am Ende des Plans</t>
  </si>
  <si>
    <t xml:space="preserve">Kontrolle</t>
  </si>
  <si>
    <t xml:space="preserve">Unvollständige Zeilen in Zahlungen (nicht gerechnet)</t>
  </si>
  <si>
    <t xml:space="preserve">Unvollständige Einzelzahlungen (nicht gerechnet)</t>
  </si>
  <si>
    <t xml:space="preserve">Einzelzahlungen vor dem Planungsbeginn (nicht gerechnet)</t>
  </si>
  <si>
    <t xml:space="preserve">Offene Posten und Einzelzahlungen nach dem Planende (kommen später)</t>
  </si>
  <si>
    <t xml:space="preserve">Status: ok = über dem Mindestpuffer · unter Puffer = positiv, aber unter dem Puffer · Kredit = Konto im Minus, Kreditlinie reicht · Engpass = auch die Kreditlinie reicht nicht. Maßnahmen: Blatt Engpass. Für Engpässe ist die Wochenansicht maßgeblich; der Monatsplan glättet Schwankungen innerhalb des Monats.</t>
  </si>
  <si>
    <t xml:space="preserve">Liquiditätsplan: 12 Monate</t>
  </si>
  <si>
    <t xml:space="preserve">Monat 1 beginnt am Planungsbeginn. Rechnet sich aus denselben Listen wie die 13 Wochen; hier nichts eintragen. Beträge brutto.</t>
  </si>
  <si>
    <t xml:space="preserve">… in Monat</t>
  </si>
  <si>
    <t xml:space="preserve">Erster Monat mit Engpass (Spielraum unter 0)</t>
  </si>
  <si>
    <t xml:space="preserve">Erster Monat unter dem Mindestpuffer</t>
  </si>
  <si>
    <t xml:space="preserve">Soll-Ist-Vergleich je Monat</t>
  </si>
  <si>
    <t xml:space="preserve">Feste Monate, unabhängig vom Weiterrollen. Am Monatsanfang den Planwert übernehmen (Zeile „Plan aktuell“ abschreiben), am Monatsende das Ist vom Kontoauszug eintragen. Abweichungen über 10 % sind markiert.</t>
  </si>
  <si>
    <t xml:space="preserve">Erster Monat</t>
  </si>
  <si>
    <t xml:space="preserve">Einmal fest eintragen, z. B. 01.01.2027; sonst wandern die Monate mit dem Planungsbeginn.</t>
  </si>
  <si>
    <t xml:space="preserve">Plan aktuell (aus 12 Monate)</t>
  </si>
  <si>
    <t xml:space="preserve">Plan übernommen (Eingabe)</t>
  </si>
  <si>
    <t xml:space="preserve">Ist laut Kontoauszug (Eingabe)</t>
  </si>
  <si>
    <t xml:space="preserve">Abweichung Ist − Plan</t>
  </si>
  <si>
    <t xml:space="preserve">Abweichung in %</t>
  </si>
  <si>
    <t xml:space="preserve">Kontostand am Monatsende</t>
  </si>
  <si>
    <t xml:space="preserve">„Plan aktuell“ zeigt den Wert, solange der Monat im Blatt 12 Monate vorkommt; liegt der Planungsbeginn mitten im Monat, ist es nur der Rest des Monats. Deshalb den Planwert am Monatsanfang in „Plan übernommen“ eintragen – dann bleibt er stehen. Ist-Werte immer vom Kontoauszug (Zahlungen), nicht aus der BWA: Die BWA zeigt Erträge und Aufwand, nicht Geldflüsse.</t>
  </si>
  <si>
    <t xml:space="preserve">Maßnahmen bei einem Liquiditätsengpass</t>
  </si>
  <si>
    <t xml:space="preserve">Je früher ein Engpass im Plan sichtbar wird, desto mehr dieser Maßnahmen stehen noch offen. Die Wirkung im Plan prüfen: Beträge und Termine in den Listen ändern.</t>
  </si>
  <si>
    <t xml:space="preserve">Maßnahme</t>
  </si>
  <si>
    <t xml:space="preserve">Wirkt</t>
  </si>
  <si>
    <t xml:space="preserve">Hinweis</t>
  </si>
  <si>
    <t xml:space="preserve">geprüft / erledigt</t>
  </si>
  <si>
    <t xml:space="preserve">Offene Kundenrechnungen sofort anmahnen</t>
  </si>
  <si>
    <t xml:space="preserve">Tage bis Wochen</t>
  </si>
  <si>
    <t xml:space="preserve">Zahlungserinnerung kurz nach Fälligkeit; danach Mahnung. Muster: arbeitdigital.de/fuehren/finanzen/mahnung/</t>
  </si>
  <si>
    <t xml:space="preserve">Abschlagsrechnungen bei größeren Aufträgen</t>
  </si>
  <si>
    <t xml:space="preserve">mit dem nächsten Auftrag</t>
  </si>
  <si>
    <t xml:space="preserve">Bei Werkverträgen kann der Unternehmer Abschläge für erbrachte Leistungen verlangen (§ 632a BGB). Im Angebot vereinbaren.</t>
  </si>
  <si>
    <t xml:space="preserve">Rechnungen schneller schreiben, Zahlungsziel verkürzen</t>
  </si>
  <si>
    <t xml:space="preserve">Wochen</t>
  </si>
  <si>
    <t xml:space="preserve">Rechnung am Tag der Abnahme statt am Monatsende; Skonto für schnelle Zahlung kostet, beschleunigt aber den Eingang.</t>
  </si>
  <si>
    <t xml:space="preserve">Lieferanten um längeres Zahlungsziel bitten</t>
  </si>
  <si>
    <t xml:space="preserve">Tage</t>
  </si>
  <si>
    <t xml:space="preserve">Vor der Fälligkeit fragen, nicht danach. Skonto nur nutzen, wenn das Geld sicher reicht.</t>
  </si>
  <si>
    <t xml:space="preserve">Steuervorauszahlungen anpassen lassen</t>
  </si>
  <si>
    <t xml:space="preserve">nächster Termin</t>
  </si>
  <si>
    <t xml:space="preserve">Ist der Gewinn gesunken: Herabsetzung beim Finanzamt beantragen (§ 37 Abs. 3 EStG); für die Gewerbesteuer passt die Gemeinde an, gebunden an einen vom Finanzamt festgesetzten Messbetrag (§ 19 Abs. 3 GewStG).</t>
  </si>
  <si>
    <t xml:space="preserve">Stundung beim Finanzamt beantragen</t>
  </si>
  <si>
    <t xml:space="preserve">Möglich, wenn die sofortige Zahlung eine erhebliche Härte wäre und der Anspruch nicht gefährdet ist (§ 222 AO); in der Regel auf Antrag, gegen Sicherheit und Zinsen.</t>
  </si>
  <si>
    <t xml:space="preserve">Kreditlinie mit der Bank besprechen</t>
  </si>
  <si>
    <t xml:space="preserve">Mit diesem Plan in der Hand und bevor das Konto im Minus ist; Banken erwarten eine nachvollziehbare Planung.</t>
  </si>
  <si>
    <t xml:space="preserve">Investitionen verschieben oder leasen statt kaufen</t>
  </si>
  <si>
    <t xml:space="preserve">sofort</t>
  </si>
  <si>
    <t xml:space="preserve">Nur, was den Betrieb nicht lahmlegt; Folgekosten bedenken.</t>
  </si>
  <si>
    <t xml:space="preserve">Lager abbauen, weniger auf Vorrat kaufen</t>
  </si>
  <si>
    <t xml:space="preserve">Gebundenes Geld wird frei; Mindestbestände für laufende Aufträge halten.</t>
  </si>
  <si>
    <t xml:space="preserve">Privatentnahmen bzw. Ausschüttungen senken</t>
  </si>
  <si>
    <t xml:space="preserve">Bei Einzelunternehmen der schnellste Hebel.</t>
  </si>
  <si>
    <t xml:space="preserve">Forderungen verkaufen (Factoring)</t>
  </si>
  <si>
    <t xml:space="preserve">Geld sofort gegen Gebühr; lohnt vor allem bei vielen gewerblichen Kunden mit langen Zahlungszielen.</t>
  </si>
  <si>
    <t xml:space="preserve">Beratung holen</t>
  </si>
  <si>
    <t xml:space="preserve">–</t>
  </si>
  <si>
    <t xml:space="preserve">Steuerbüro zuerst. Droht die Zahlungsunfähigkeit, sofort Fachanwalt für Insolvenzrecht. GmbH-Geschäftsführer haben dann Antragspflichten (§ 15a InsO) und dürfen grundsätzlich keine Zahlungen mehr leisten (§ 15b InsO).</t>
  </si>
  <si>
    <t xml:space="preserve">Art</t>
  </si>
  <si>
    <t xml:space="preserve">Einzahlung</t>
  </si>
  <si>
    <t xml:space="preserve">wöchentlich</t>
  </si>
  <si>
    <t xml:space="preserve">monatlich</t>
  </si>
  <si>
    <t xml:space="preserve">monatlich zum Monatsletzten</t>
  </si>
  <si>
    <t xml:space="preserve">monatlich am drittletzten Bankarbeitstag</t>
  </si>
  <si>
    <t xml:space="preserve">vierteljährlich</t>
  </si>
  <si>
    <t xml:space="preserve">Auszahlung</t>
  </si>
  <si>
    <t xml:space="preserve">halbjährlich</t>
  </si>
  <si>
    <t xml:space="preserve">jährlich</t>
  </si>
  <si>
    <t xml:space="preserve">Hilfsblatt für die Auswahllisten. Kategorien nicht umbenennen: Die Pläne suchen genau diese Namen.</t>
  </si>
</sst>
</file>

<file path=xl/styles.xml><?xml version="1.0" encoding="utf-8"?>
<styleSheet xmlns="http://schemas.openxmlformats.org/spreadsheetml/2006/main">
  <numFmts count="10">
    <numFmt numFmtId="164" formatCode="General"/>
    <numFmt numFmtId="165" formatCode="dd\.mm\.yyyy"/>
    <numFmt numFmtId="166" formatCode="#,##0&quot; €&quot;;[RED]\-#,##0&quot; €&quot;;\–"/>
    <numFmt numFmtId="167" formatCode="0.0%;[RED]\-0.0%;\–"/>
    <numFmt numFmtId="168" formatCode="#,##0;[RED]\-#,##0;\–"/>
    <numFmt numFmtId="169" formatCode="0%;[RED]\-0%;\–"/>
    <numFmt numFmtId="170" formatCode="dd\.mm\."/>
    <numFmt numFmtId="171" formatCode="mmm\ yy"/>
    <numFmt numFmtId="172" formatCode="0"/>
    <numFmt numFmtId="173" formatCode="#,##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sz val="10"/>
      <color rgb="FF0000FF"/>
      <name val="Arial"/>
      <family val="0"/>
      <charset val="1"/>
    </font>
    <font>
      <i val="true"/>
      <sz val="9"/>
      <color rgb="FF555555"/>
      <name val="Arial"/>
      <family val="0"/>
      <charset val="1"/>
    </font>
    <font>
      <sz val="8"/>
      <color rgb="FF999999"/>
      <name val="Arial"/>
      <family val="0"/>
      <charset val="1"/>
    </font>
    <font>
      <b val="true"/>
      <sz val="11"/>
      <color rgb="FFC00000"/>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EAF2FB"/>
        <bgColor rgb="FFF2F2F2"/>
      </patternFill>
    </fill>
    <fill>
      <patternFill patternType="solid">
        <fgColor rgb="FFFFF6C8"/>
        <bgColor rgb="FFFCE9B8"/>
      </patternFill>
    </fill>
    <fill>
      <patternFill patternType="solid">
        <fgColor rgb="FFE6E6E6"/>
        <bgColor rgb="FFE0E0E0"/>
      </patternFill>
    </fill>
    <fill>
      <patternFill patternType="solid">
        <fgColor rgb="FFF2F2F2"/>
        <bgColor rgb="FFEFEFEF"/>
      </patternFill>
    </fill>
    <fill>
      <patternFill patternType="solid">
        <fgColor rgb="FFEFEFEF"/>
        <bgColor rgb="FFF2F2F2"/>
      </patternFill>
    </fill>
  </fills>
  <borders count="2">
    <border diagonalUp="false" diagonalDown="false">
      <left/>
      <right/>
      <top/>
      <bottom/>
      <diagonal/>
    </border>
    <border diagonalUp="false" diagonalDown="false">
      <left/>
      <right/>
      <top style="thin">
        <color rgb="FF99999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true">
      <alignment horizontal="general" vertical="bottom" textRotation="0" wrapText="false" indent="0" shrinkToFit="false"/>
      <protection locked="false" hidden="false"/>
    </xf>
    <xf numFmtId="164" fontId="8" fillId="0" borderId="0" xfId="0" applyFont="true" applyBorder="false" applyAlignment="true" applyProtection="false">
      <alignment horizontal="general" vertical="top" textRotation="0" wrapText="true" indent="0" shrinkToFit="false"/>
      <protection locked="true" hidden="false"/>
    </xf>
    <xf numFmtId="165" fontId="7" fillId="3" borderId="0" xfId="0" applyFont="true" applyBorder="false" applyAlignment="false" applyProtection="true">
      <alignment horizontal="general" vertical="bottom" textRotation="0" wrapText="false" indent="0" shrinkToFit="false"/>
      <protection locked="false" hidden="false"/>
    </xf>
    <xf numFmtId="166" fontId="7" fillId="3" borderId="0" xfId="0" applyFont="true" applyBorder="false" applyAlignment="false" applyProtection="true">
      <alignment horizontal="general" vertical="bottom" textRotation="0" wrapText="false" indent="0" shrinkToFit="false"/>
      <protection locked="false" hidden="false"/>
    </xf>
    <xf numFmtId="167" fontId="7" fillId="3" borderId="0" xfId="0" applyFont="true" applyBorder="false" applyAlignment="false" applyProtection="true">
      <alignment horizontal="general" vertical="bottom" textRotation="0" wrapText="false" indent="0" shrinkToFit="false"/>
      <protection locked="false" hidden="false"/>
    </xf>
    <xf numFmtId="168" fontId="7" fillId="3" borderId="0" xfId="0" applyFont="true" applyBorder="false" applyAlignment="false" applyProtection="true">
      <alignment horizontal="general" vertical="bottom" textRotation="0" wrapText="false" indent="0" shrinkToFit="false"/>
      <protection locked="false" hidden="false"/>
    </xf>
    <xf numFmtId="169" fontId="7" fillId="3" borderId="0" xfId="0" applyFont="true" applyBorder="false" applyAlignment="false" applyProtection="true">
      <alignment horizontal="general" vertical="bottom" textRotation="0" wrapText="false" indent="0" shrinkToFit="false"/>
      <protection locked="fals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center" textRotation="0" wrapText="tru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xf numFmtId="166" fontId="5" fillId="5"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1" fontId="5" fillId="4"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right" vertical="bottom" textRotation="0" wrapText="false" indent="0" shrinkToFit="false"/>
      <protection locked="true" hidden="false"/>
    </xf>
    <xf numFmtId="170" fontId="5" fillId="4" borderId="0" xfId="0" applyFont="true" applyBorder="false" applyAlignment="true" applyProtection="false">
      <alignment horizontal="right"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6" fontId="5"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6" fontId="5" fillId="0" borderId="0" xfId="0" applyFont="true" applyBorder="tru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6" fontId="5" fillId="0" borderId="0" xfId="0" applyFont="true" applyBorder="true" applyAlignment="false" applyProtection="false">
      <alignment horizontal="general" vertical="bottom" textRotation="0" wrapText="false" indent="0" shrinkToFit="false"/>
      <protection locked="true" hidden="false"/>
    </xf>
    <xf numFmtId="171" fontId="5" fillId="4" borderId="0" xfId="0" applyFont="true" applyBorder="false" applyAlignment="true" applyProtection="false">
      <alignment horizontal="right" vertical="bottom" textRotation="0" wrapText="false" indent="0" shrinkToFit="false"/>
      <protection locked="true" hidden="false"/>
    </xf>
    <xf numFmtId="171" fontId="5" fillId="0" borderId="0" xfId="0" applyFont="true" applyBorder="true" applyAlignment="true" applyProtection="false">
      <alignment horizontal="right" vertical="bottom" textRotation="0" wrapText="false" indent="0" shrinkToFit="false"/>
      <protection locked="true" hidden="false"/>
    </xf>
    <xf numFmtId="171" fontId="7" fillId="3" borderId="0" xfId="0" applyFont="true" applyBorder="false" applyAlignment="false" applyProtection="true">
      <alignment horizontal="general" vertical="bottom" textRotation="0" wrapText="false" indent="0" shrinkToFit="false"/>
      <protection locked="false" hidden="false"/>
    </xf>
    <xf numFmtId="171" fontId="5" fillId="4" borderId="0" xfId="0" applyFont="true" applyBorder="false" applyAlignment="true" applyProtection="false">
      <alignment horizontal="general" vertical="center" textRotation="0" wrapText="tru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E0E0E0"/>
        </patternFill>
      </fill>
    </dxf>
    <dxf>
      <fill>
        <patternFill>
          <bgColor rgb="FFF8D0D0"/>
        </patternFill>
      </fill>
    </dxf>
    <dxf>
      <fill>
        <patternFill>
          <bgColor rgb="FFD9F2D9"/>
        </patternFill>
      </fill>
    </dxf>
    <dxf>
      <fill>
        <patternFill>
          <bgColor rgb="FFFCE9B8"/>
        </patternFill>
      </fill>
    </dxf>
  </dxfs>
  <colors>
    <indexedColors>
      <rgbColor rgb="FF000000"/>
      <rgbColor rgb="FFF2F2F2"/>
      <rgbColor rgb="FFC00000"/>
      <rgbColor rgb="FF00FF00"/>
      <rgbColor rgb="FF0000FF"/>
      <rgbColor rgb="FFFFFF00"/>
      <rgbColor rgb="FFFF00FF"/>
      <rgbColor rgb="FF00FFFF"/>
      <rgbColor rgb="FF800000"/>
      <rgbColor rgb="FF008000"/>
      <rgbColor rgb="FF000080"/>
      <rgbColor rgb="FF808000"/>
      <rgbColor rgb="FF800080"/>
      <rgbColor rgb="FF008080"/>
      <rgbColor rgb="FFE0E0E0"/>
      <rgbColor rgb="FF878787"/>
      <rgbColor rgb="FF9999FF"/>
      <rgbColor rgb="FFBE4B48"/>
      <rgbColor rgb="FFFFF6C8"/>
      <rgbColor rgb="FFEAF2F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FEFEF"/>
      <rgbColor rgb="FFD9F2D9"/>
      <rgbColor rgb="FFFCE9B8"/>
      <rgbColor rgb="FFE6E6E6"/>
      <rgbColor rgb="FFFF99CC"/>
      <rgbColor rgb="FFCC99FF"/>
      <rgbColor rgb="FFF8D0D0"/>
      <rgbColor rgb="FF3366FF"/>
      <rgbColor rgb="FF33CCCC"/>
      <rgbColor rgb="FF98B855"/>
      <rgbColor rgb="FFFFCC00"/>
      <rgbColor rgb="FFFF9900"/>
      <rgbColor rgb="FFFF6600"/>
      <rgbColor rgb="FF4A7EBB"/>
      <rgbColor rgb="FF999999"/>
      <rgbColor rgb="FF003366"/>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Kontostand am Ende, Mindestpuffer und Grenze der Kreditlinie</a:t>
            </a:r>
          </a:p>
        </c:rich>
      </c:tx>
      <c:overlay val="0"/>
      <c:spPr>
        <a:noFill/>
        <a:ln w="0">
          <a:noFill/>
        </a:ln>
      </c:spPr>
    </c:title>
    <c:autoTitleDeleted val="0"/>
    <c:plotArea>
      <c:lineChart>
        <c:grouping val="standard"/>
        <c:varyColors val="0"/>
        <c:ser>
          <c:idx val="0"/>
          <c:order val="0"/>
          <c:tx>
            <c:strRef>
              <c:f>'13 Wochen'!A36</c:f>
              <c:strCache>
                <c:ptCount val="1"/>
                <c:pt idx="0">
                  <c:v>Kontostand am Ende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Wochen'!$B$36:$N$36</c:f>
              <c:numCache>
                <c:formatCode>#,##0" €";[RED]\-#,##0" €";\–</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ser>
        <c:ser>
          <c:idx val="1"/>
          <c:order val="1"/>
          <c:tx>
            <c:strRef>
              <c:f>'13 Wochen'!A39</c:f>
              <c:strCache>
                <c:ptCount val="1"/>
                <c:pt idx="0">
                  <c:v>Mindestpuffer</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Wochen'!$B$39:$N$39</c:f>
              <c:numCache>
                <c:formatCode>#,##0" €";[RED]\-#,##0" €";\–</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ser>
        <c:ser>
          <c:idx val="2"/>
          <c:order val="2"/>
          <c:tx>
            <c:strRef>
              <c:f>'13 Wochen'!A40</c:f>
              <c:strCache>
                <c:ptCount val="1"/>
                <c:pt idx="0">
                  <c:v>Grenze der Kreditlinie</c:v>
                </c:pt>
              </c:strCache>
            </c:strRef>
          </c:tx>
          <c:spPr>
            <a:solidFill>
              <a:srgbClr val="98b855"/>
            </a:solidFill>
            <a:ln w="28440">
              <a:solidFill>
                <a:srgbClr val="98b855"/>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Wochen'!$B$4:$N$4</c:f>
              <c:strCache>
                <c:ptCount val="13"/>
                <c:pt idx="0">
                  <c:v>KW 45</c:v>
                </c:pt>
                <c:pt idx="1">
                  <c:v>KW 46</c:v>
                </c:pt>
                <c:pt idx="2">
                  <c:v>KW 47</c:v>
                </c:pt>
                <c:pt idx="3">
                  <c:v>KW 48</c:v>
                </c:pt>
                <c:pt idx="4">
                  <c:v>KW 49</c:v>
                </c:pt>
                <c:pt idx="5">
                  <c:v>KW 50</c:v>
                </c:pt>
                <c:pt idx="6">
                  <c:v>KW 51</c:v>
                </c:pt>
                <c:pt idx="7">
                  <c:v>KW 52</c:v>
                </c:pt>
                <c:pt idx="8">
                  <c:v>KW 53</c:v>
                </c:pt>
                <c:pt idx="9">
                  <c:v>KW 01</c:v>
                </c:pt>
                <c:pt idx="10">
                  <c:v>KW 02</c:v>
                </c:pt>
                <c:pt idx="11">
                  <c:v>KW 03</c:v>
                </c:pt>
                <c:pt idx="12">
                  <c:v>KW 04</c:v>
                </c:pt>
              </c:strCache>
            </c:strRef>
          </c:cat>
          <c:val>
            <c:numRef>
              <c:f>'13 Wochen'!$B$40:$N$40</c:f>
              <c:numCache>
                <c:formatCode>#,##0;[RED]\-#,##0;\–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ser>
        <c:hiLowLines>
          <c:spPr>
            <a:ln w="0">
              <a:noFill/>
            </a:ln>
          </c:spPr>
        </c:hiLowLines>
        <c:marker val="0"/>
        <c:axId val="78537827"/>
        <c:axId val="19373994"/>
      </c:lineChart>
      <c:catAx>
        <c:axId val="78537827"/>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19373994"/>
        <c:crosses val="autoZero"/>
        <c:auto val="1"/>
        <c:lblAlgn val="ctr"/>
        <c:lblOffset val="100"/>
        <c:noMultiLvlLbl val="0"/>
      </c:catAx>
      <c:valAx>
        <c:axId val="1937399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853782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Kontostand am Ende, Mindestpuffer und Grenze der Kreditlinie</a:t>
            </a:r>
          </a:p>
        </c:rich>
      </c:tx>
      <c:overlay val="0"/>
      <c:spPr>
        <a:noFill/>
        <a:ln w="0">
          <a:noFill/>
        </a:ln>
      </c:spPr>
    </c:title>
    <c:autoTitleDeleted val="0"/>
    <c:plotArea>
      <c:lineChart>
        <c:grouping val="standard"/>
        <c:varyColors val="0"/>
        <c:ser>
          <c:idx val="0"/>
          <c:order val="0"/>
          <c:tx>
            <c:strRef>
              <c:f>'12 Monate'!A36</c:f>
              <c:strCache>
                <c:ptCount val="1"/>
                <c:pt idx="0">
                  <c:v>Kontostand am Ende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Monate'!$B$36:$M$36</c:f>
              <c:numCache>
                <c:formatCode>#,##0"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'12 Monate'!A39</c:f>
              <c:strCache>
                <c:ptCount val="1"/>
                <c:pt idx="0">
                  <c:v>Mindestpuffer</c:v>
                </c:pt>
              </c:strCache>
            </c:strRef>
          </c:tx>
          <c:spPr>
            <a:solidFill>
              <a:srgbClr val="be4b48"/>
            </a:solidFill>
            <a:ln w="28440">
              <a:solidFill>
                <a:srgbClr val="be4b4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Monate'!$B$39:$M$39</c:f>
              <c:numCache>
                <c:formatCode>#,##0"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2"/>
          <c:order val="2"/>
          <c:tx>
            <c:strRef>
              <c:f>'12 Monate'!A40</c:f>
              <c:strCache>
                <c:ptCount val="1"/>
                <c:pt idx="0">
                  <c:v>Grenze der Kreditlinie</c:v>
                </c:pt>
              </c:strCache>
            </c:strRef>
          </c:tx>
          <c:spPr>
            <a:solidFill>
              <a:srgbClr val="98b855"/>
            </a:solidFill>
            <a:ln w="28440">
              <a:solidFill>
                <a:srgbClr val="98b855"/>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'12 Monate'!$B$4:$M$4</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'12 Monate'!$B$40:$M$40</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hiLowLines>
          <c:spPr>
            <a:ln w="0">
              <a:noFill/>
            </a:ln>
          </c:spPr>
        </c:hiLowLines>
        <c:marker val="0"/>
        <c:axId val="50073863"/>
        <c:axId val="47068694"/>
      </c:lineChart>
      <c:catAx>
        <c:axId val="50073863"/>
        <c:scaling>
          <c:orientation val="minMax"/>
        </c:scaling>
        <c:delete val="0"/>
        <c:axPos val="b"/>
        <c:numFmt formatCode="mmm\ yy"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47068694"/>
        <c:crosses val="autoZero"/>
        <c:auto val="1"/>
        <c:lblAlgn val="ctr"/>
        <c:lblOffset val="100"/>
        <c:noMultiLvlLbl val="0"/>
      </c:catAx>
      <c:valAx>
        <c:axId val="4706869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07386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41</xdr:row>
      <xdr:rowOff>160560</xdr:rowOff>
    </xdr:from>
    <xdr:to>
      <xdr:col>14</xdr:col>
      <xdr:colOff>166320</xdr:colOff>
      <xdr:row>55</xdr:row>
      <xdr:rowOff>373320</xdr:rowOff>
    </xdr:to>
    <xdr:graphicFrame>
      <xdr:nvGraphicFramePr>
        <xdr:cNvPr id="0" name="Chart 1"/>
        <xdr:cNvGraphicFramePr/>
      </xdr:nvGraphicFramePr>
      <xdr:xfrm>
        <a:off x="5991120" y="8001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41</xdr:row>
      <xdr:rowOff>160560</xdr:rowOff>
    </xdr:from>
    <xdr:to>
      <xdr:col>14</xdr:col>
      <xdr:colOff>410040</xdr:colOff>
      <xdr:row>55</xdr:row>
      <xdr:rowOff>373320</xdr:rowOff>
    </xdr:to>
    <xdr:graphicFrame>
      <xdr:nvGraphicFramePr>
        <xdr:cNvPr id="1" name="Chart 1"/>
        <xdr:cNvGraphicFramePr/>
      </xdr:nvGraphicFramePr>
      <xdr:xfrm>
        <a:off x="5886360" y="8001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1" t="s">
        <v>0</v>
      </c>
    </row>
    <row r="2" customFormat="false" ht="42" hidden="false" customHeight="true" outlineLevel="0" collapsed="false">
      <c r="A2" s="2" t="s">
        <v>1</v>
      </c>
      <c r="B2" s="2"/>
      <c r="C2" s="2"/>
    </row>
    <row r="4" customFormat="false" ht="15" hidden="false" customHeight="false" outlineLevel="0" collapsed="false">
      <c r="A4" s="3" t="s">
        <v>2</v>
      </c>
    </row>
    <row r="5" customFormat="false" ht="27.75" hidden="false" customHeight="true" outlineLevel="0" collapsed="false">
      <c r="A5" s="4" t="s">
        <v>3</v>
      </c>
      <c r="B5" s="5"/>
      <c r="C5" s="6" t="s">
        <v>4</v>
      </c>
    </row>
    <row r="6" customFormat="false" ht="39.75" hidden="false" customHeight="true" outlineLevel="0" collapsed="false">
      <c r="A6" s="4" t="s">
        <v>5</v>
      </c>
      <c r="B6" s="7" t="n">
        <f aca="true">TODAY()-WEEKDAY(TODAY(),3)</f>
        <v>46328</v>
      </c>
      <c r="C6" s="6" t="s">
        <v>6</v>
      </c>
    </row>
    <row r="7" customFormat="false" ht="27.75" hidden="false" customHeight="true" outlineLevel="0" collapsed="false">
      <c r="A7" s="4" t="s">
        <v>7</v>
      </c>
      <c r="B7" s="8"/>
      <c r="C7" s="6" t="s">
        <v>8</v>
      </c>
    </row>
    <row r="8" customFormat="false" ht="27.75" hidden="false" customHeight="true" outlineLevel="0" collapsed="false">
      <c r="A8" s="4" t="s">
        <v>9</v>
      </c>
      <c r="B8" s="8"/>
      <c r="C8" s="6" t="s">
        <v>10</v>
      </c>
    </row>
    <row r="9" customFormat="false" ht="27.75" hidden="false" customHeight="true" outlineLevel="0" collapsed="false">
      <c r="A9" s="4" t="s">
        <v>11</v>
      </c>
      <c r="B9" s="9"/>
      <c r="C9" s="6" t="s">
        <v>12</v>
      </c>
    </row>
    <row r="10" customFormat="false" ht="27.75" hidden="false" customHeight="true" outlineLevel="0" collapsed="false">
      <c r="A10" s="4" t="s">
        <v>13</v>
      </c>
      <c r="B10" s="8"/>
      <c r="C10" s="6" t="s">
        <v>14</v>
      </c>
    </row>
    <row r="11" customFormat="false" ht="27.75" hidden="false" customHeight="true" outlineLevel="0" collapsed="false">
      <c r="A11" s="4" t="s">
        <v>15</v>
      </c>
      <c r="B11" s="10" t="n">
        <v>0</v>
      </c>
      <c r="C11" s="6" t="s">
        <v>16</v>
      </c>
    </row>
    <row r="12" customFormat="false" ht="39.75" hidden="false" customHeight="true" outlineLevel="0" collapsed="false">
      <c r="A12" s="4" t="s">
        <v>17</v>
      </c>
      <c r="B12" s="11" t="n">
        <v>0</v>
      </c>
      <c r="C12" s="6" t="s">
        <v>18</v>
      </c>
    </row>
    <row r="13" customFormat="false" ht="22.35" hidden="false" customHeight="false" outlineLevel="0" collapsed="false">
      <c r="A13" s="4" t="s">
        <v>19</v>
      </c>
      <c r="B13" s="12" t="n">
        <f aca="true">IF(ISNUMBER(B6),B6-WEEKDAY(B6,3),TODAY()-WEEKDAY(TODAY(),3))</f>
        <v>46328</v>
      </c>
      <c r="C13" s="6" t="s">
        <v>20</v>
      </c>
    </row>
    <row r="14" customFormat="false" ht="15" hidden="false" customHeight="false" outlineLevel="0" collapsed="false">
      <c r="A14" s="4" t="s">
        <v>21</v>
      </c>
      <c r="B14" s="3" t="str">
        <f aca="false">IF(B5="Malerbetrieb Muster GmbH","ja – bitte überschreiben","nein")</f>
        <v>nein</v>
      </c>
    </row>
    <row r="16" customFormat="false" ht="15" hidden="false" customHeight="true" outlineLevel="0" collapsed="false">
      <c r="A16" s="13" t="s">
        <v>22</v>
      </c>
      <c r="B16" s="13"/>
      <c r="C16" s="13"/>
    </row>
    <row r="17" customFormat="false" ht="27.75" hidden="false" customHeight="true" outlineLevel="0" collapsed="false">
      <c r="A17" s="14" t="s">
        <v>23</v>
      </c>
      <c r="B17" s="14"/>
      <c r="C17" s="14"/>
    </row>
    <row r="18" customFormat="false" ht="27.75" hidden="false" customHeight="true" outlineLevel="0" collapsed="false">
      <c r="A18" s="14" t="s">
        <v>24</v>
      </c>
      <c r="B18" s="14"/>
      <c r="C18" s="14"/>
    </row>
    <row r="19" customFormat="false" ht="55.5" hidden="false" customHeight="true" outlineLevel="0" collapsed="false">
      <c r="A19" s="14" t="s">
        <v>25</v>
      </c>
      <c r="B19" s="14"/>
      <c r="C19" s="14"/>
    </row>
    <row r="20" customFormat="false" ht="27.75" hidden="false" customHeight="true" outlineLevel="0" collapsed="false">
      <c r="A20" s="14" t="s">
        <v>26</v>
      </c>
      <c r="B20" s="14"/>
      <c r="C20" s="14"/>
    </row>
    <row r="21" customFormat="false" ht="42" hidden="false" customHeight="true" outlineLevel="0" collapsed="false">
      <c r="A21" s="14" t="s">
        <v>27</v>
      </c>
      <c r="B21" s="14"/>
      <c r="C21" s="14"/>
    </row>
    <row r="22" customFormat="false" ht="55.5" hidden="false" customHeight="true" outlineLevel="0" collapsed="false">
      <c r="A22" s="14" t="s">
        <v>28</v>
      </c>
      <c r="B22" s="14"/>
      <c r="C22" s="14"/>
    </row>
    <row r="23" customFormat="false" ht="27.75" hidden="false" customHeight="true" outlineLevel="0" collapsed="false">
      <c r="A23" s="14" t="s">
        <v>29</v>
      </c>
      <c r="B23" s="14"/>
      <c r="C23" s="14"/>
    </row>
    <row r="24" customFormat="false" ht="42" hidden="false" customHeight="true" outlineLevel="0" collapsed="false">
      <c r="A24" s="14" t="s">
        <v>30</v>
      </c>
      <c r="B24" s="14"/>
      <c r="C24" s="14"/>
    </row>
    <row r="25" customFormat="false" ht="55.5" hidden="false" customHeight="true" outlineLevel="0" collapsed="false">
      <c r="A25" s="14" t="s">
        <v>31</v>
      </c>
      <c r="B25" s="14"/>
      <c r="C25" s="14"/>
    </row>
    <row r="26" customFormat="false" ht="15" hidden="false" customHeight="true" outlineLevel="0" collapsed="false">
      <c r="A26" s="13" t="s">
        <v>32</v>
      </c>
      <c r="B26" s="13"/>
      <c r="C26" s="13"/>
    </row>
    <row r="27" customFormat="false" ht="84" hidden="false" customHeight="true" outlineLevel="0" collapsed="false">
      <c r="A27" s="14" t="s">
        <v>33</v>
      </c>
      <c r="B27" s="14"/>
      <c r="C27" s="14"/>
    </row>
    <row r="28" customFormat="false" ht="55.5" hidden="false" customHeight="true" outlineLevel="0" collapsed="false">
      <c r="A28" s="14" t="s">
        <v>34</v>
      </c>
      <c r="B28" s="14"/>
      <c r="C28" s="14"/>
    </row>
    <row r="29" customFormat="false" ht="55.5" hidden="false" customHeight="true" outlineLevel="0" collapsed="false">
      <c r="A29" s="14" t="s">
        <v>35</v>
      </c>
      <c r="B29" s="14"/>
      <c r="C29" s="14"/>
    </row>
    <row r="30" customFormat="false" ht="27.75" hidden="false" customHeight="true" outlineLevel="0" collapsed="false">
      <c r="A30" s="14" t="s">
        <v>36</v>
      </c>
      <c r="B30" s="14"/>
      <c r="C30" s="14"/>
    </row>
    <row r="31" customFormat="false" ht="27.75" hidden="false" customHeight="true" outlineLevel="0" collapsed="false">
      <c r="A31" s="14" t="s">
        <v>37</v>
      </c>
      <c r="B31" s="14"/>
      <c r="C31" s="14"/>
    </row>
  </sheetData>
  <sheetProtection sheet="true" formatCells="false" formatColumns="false" formatRows="false"/>
  <mergeCells count="17">
    <mergeCell ref="A2:C2"/>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dataValidations count="6">
    <dataValidation allowBlank="true" error="Bitte das Datum eines Montags eingeben, z. B. 01.02.2027." errorStyle="stop" operator="between" showDropDown="false" showErrorMessage="true" showInputMessage="false" sqref="B6" type="custom">
      <formula1>AND(ISNUMBER(B6),WEEKDAY(B6,2)=1)</formula1>
      <formula2>0</formula2>
    </dataValidation>
    <dataValidation allowBlank="true" error="Bitte einen Wert von 0 bis 120 eingeben." errorStyle="stop" operator="between" showDropDown="false" showErrorMessage="true" showInputMessage="false" sqref="B11" type="whole">
      <formula1>0</formula1>
      <formula2>120</formula2>
    </dataValidation>
    <dataValidation allowBlank="true" error="Bitte einen Wert von 0 % bis 100 % eingeben." errorStyle="stop" operator="between" showDropDown="false" showErrorMessage="true" showInputMessage="false" sqref="B12" type="decimal">
      <formula1>0</formula1>
      <formula2>1</formula2>
    </dataValidation>
    <dataValidation allowBlank="true" error="Bitte einen Zinssatz von 0 % bis 50 % eingeben." errorStyle="stop" operator="between" showDropDown="false" showErrorMessage="true" showInputMessage="false" sqref="B9" type="decimal">
      <formula1>0</formula1>
      <formula2>0.5</formula2>
    </dataValidation>
    <dataValidation allowBlank="true" error="Bitte einen Wert von -100000000 bis 100000000 eingeben." errorStyle="stop" operator="between" showDropDown="false" showErrorMessage="true" showInputMessage="false" sqref="B7" type="decimal">
      <formula1>-100000000</formula1>
      <formula2>100000000</formula2>
    </dataValidation>
    <dataValidation allowBlank="true" error="Bitte 0 oder einen positiven Betrag eingeben." errorStyle="stop" operator="between" showDropDown="false" showErrorMessage="true" showInputMessage="false" sqref="B8 B10" type="decimal">
      <formula1>0</formula1>
      <formula2>100000000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
    <col collapsed="false" customWidth="true" hidden="false" outlineLevel="0" max="3" min="3" style="0" width="15"/>
    <col collapsed="false" customWidth="true" hidden="false" outlineLevel="0" max="4" min="4" style="0" width="12"/>
    <col collapsed="false" customWidth="true" hidden="false" outlineLevel="0" max="5" min="5" style="0" width="18"/>
    <col collapsed="false" customWidth="true" hidden="false" outlineLevel="0" max="6" min="6" style="0" width="9"/>
    <col collapsed="false" customWidth="true" hidden="false" outlineLevel="0" max="7" min="7" style="0" width="12"/>
  </cols>
  <sheetData>
    <row r="1" customFormat="false" ht="17.35" hidden="false" customHeight="false" outlineLevel="0" collapsed="false">
      <c r="A1" s="1" t="s">
        <v>38</v>
      </c>
    </row>
    <row r="2" customFormat="false" ht="15" hidden="false" customHeight="false" outlineLevel="0" collapsed="false">
      <c r="A2" s="15" t="s">
        <v>39</v>
      </c>
    </row>
    <row r="3" customFormat="false" ht="15" hidden="false" customHeight="false" outlineLevel="0" collapsed="false">
      <c r="A3" s="3" t="s">
        <v>40</v>
      </c>
    </row>
    <row r="4" customFormat="false" ht="35.05" hidden="false" customHeight="false" outlineLevel="0" collapsed="false">
      <c r="A4" s="16" t="s">
        <v>41</v>
      </c>
      <c r="B4" s="16" t="s">
        <v>42</v>
      </c>
      <c r="C4" s="16" t="s">
        <v>43</v>
      </c>
      <c r="D4" s="16" t="s">
        <v>44</v>
      </c>
      <c r="E4" s="16" t="s">
        <v>45</v>
      </c>
      <c r="F4" s="16" t="s">
        <v>46</v>
      </c>
      <c r="G4" s="16" t="s">
        <v>47</v>
      </c>
    </row>
    <row r="5" customFormat="false" ht="15" hidden="false" customHeight="false" outlineLevel="0" collapsed="false">
      <c r="A5" s="5"/>
      <c r="B5" s="5"/>
      <c r="C5" s="8"/>
      <c r="D5" s="7"/>
      <c r="E5" s="7"/>
      <c r="F5" s="5"/>
      <c r="G5" s="12" t="str">
        <f aca="false">IF(OR(C5="",C5=0,F5&lt;&gt;""),"",IF(E5&lt;&gt;"",E5,IF(D5="",Start!$B$13,D5))+Start!$B$11)</f>
        <v/>
      </c>
    </row>
    <row r="6" customFormat="false" ht="15" hidden="false" customHeight="false" outlineLevel="0" collapsed="false">
      <c r="A6" s="5"/>
      <c r="B6" s="5"/>
      <c r="C6" s="8"/>
      <c r="D6" s="7"/>
      <c r="E6" s="7"/>
      <c r="F6" s="5"/>
      <c r="G6" s="12" t="str">
        <f aca="false">IF(OR(C6="",C6=0,F6&lt;&gt;""),"",IF(E6&lt;&gt;"",E6,IF(D6="",Start!$B$13,D6))+Start!$B$11)</f>
        <v/>
      </c>
    </row>
    <row r="7" customFormat="false" ht="15" hidden="false" customHeight="false" outlineLevel="0" collapsed="false">
      <c r="A7" s="5"/>
      <c r="B7" s="5"/>
      <c r="C7" s="8"/>
      <c r="D7" s="7"/>
      <c r="E7" s="7"/>
      <c r="F7" s="5"/>
      <c r="G7" s="12" t="str">
        <f aca="false">IF(OR(C7="",C7=0,F7&lt;&gt;""),"",IF(E7&lt;&gt;"",E7,IF(D7="",Start!$B$13,D7))+Start!$B$11)</f>
        <v/>
      </c>
    </row>
    <row r="8" customFormat="false" ht="15" hidden="false" customHeight="false" outlineLevel="0" collapsed="false">
      <c r="A8" s="5"/>
      <c r="B8" s="5"/>
      <c r="C8" s="8"/>
      <c r="D8" s="7"/>
      <c r="E8" s="7"/>
      <c r="F8" s="5"/>
      <c r="G8" s="12" t="str">
        <f aca="false">IF(OR(C8="",C8=0,F8&lt;&gt;""),"",IF(E8&lt;&gt;"",E8,IF(D8="",Start!$B$13,D8))+Start!$B$11)</f>
        <v/>
      </c>
    </row>
    <row r="9" customFormat="false" ht="15" hidden="false" customHeight="false" outlineLevel="0" collapsed="false">
      <c r="A9" s="5"/>
      <c r="B9" s="5"/>
      <c r="C9" s="8"/>
      <c r="D9" s="7"/>
      <c r="E9" s="7"/>
      <c r="F9" s="5"/>
      <c r="G9" s="12" t="str">
        <f aca="false">IF(OR(C9="",C9=0,F9&lt;&gt;""),"",IF(E9&lt;&gt;"",E9,IF(D9="",Start!$B$13,D9))+Start!$B$11)</f>
        <v/>
      </c>
    </row>
    <row r="10" customFormat="false" ht="15" hidden="false" customHeight="false" outlineLevel="0" collapsed="false">
      <c r="A10" s="5"/>
      <c r="B10" s="5"/>
      <c r="C10" s="8"/>
      <c r="D10" s="7"/>
      <c r="E10" s="7"/>
      <c r="F10" s="5"/>
      <c r="G10" s="12" t="str">
        <f aca="false">IF(OR(C10="",C10=0,F10&lt;&gt;""),"",IF(E10&lt;&gt;"",E10,IF(D10="",Start!$B$13,D10))+Start!$B$11)</f>
        <v/>
      </c>
    </row>
    <row r="11" customFormat="false" ht="15" hidden="false" customHeight="false" outlineLevel="0" collapsed="false">
      <c r="A11" s="5"/>
      <c r="B11" s="5"/>
      <c r="C11" s="8"/>
      <c r="D11" s="7"/>
      <c r="E11" s="7"/>
      <c r="F11" s="5"/>
      <c r="G11" s="12" t="str">
        <f aca="false">IF(OR(C11="",C11=0,F11&lt;&gt;""),"",IF(E11&lt;&gt;"",E11,IF(D11="",Start!$B$13,D11))+Start!$B$11)</f>
        <v/>
      </c>
    </row>
    <row r="12" customFormat="false" ht="15" hidden="false" customHeight="false" outlineLevel="0" collapsed="false">
      <c r="A12" s="5"/>
      <c r="B12" s="5"/>
      <c r="C12" s="8"/>
      <c r="D12" s="7"/>
      <c r="E12" s="7"/>
      <c r="F12" s="5"/>
      <c r="G12" s="12" t="str">
        <f aca="false">IF(OR(C12="",C12=0,F12&lt;&gt;""),"",IF(E12&lt;&gt;"",E12,IF(D12="",Start!$B$13,D12))+Start!$B$11)</f>
        <v/>
      </c>
    </row>
    <row r="13" customFormat="false" ht="15" hidden="false" customHeight="false" outlineLevel="0" collapsed="false">
      <c r="A13" s="5"/>
      <c r="B13" s="5"/>
      <c r="C13" s="8"/>
      <c r="D13" s="7"/>
      <c r="E13" s="7"/>
      <c r="F13" s="5"/>
      <c r="G13" s="12" t="str">
        <f aca="false">IF(OR(C13="",C13=0,F13&lt;&gt;""),"",IF(E13&lt;&gt;"",E13,IF(D13="",Start!$B$13,D13))+Start!$B$11)</f>
        <v/>
      </c>
    </row>
    <row r="14" customFormat="false" ht="15" hidden="false" customHeight="false" outlineLevel="0" collapsed="false">
      <c r="A14" s="5"/>
      <c r="B14" s="5"/>
      <c r="C14" s="8"/>
      <c r="D14" s="7"/>
      <c r="E14" s="7"/>
      <c r="F14" s="5"/>
      <c r="G14" s="12" t="str">
        <f aca="false">IF(OR(C14="",C14=0,F14&lt;&gt;""),"",IF(E14&lt;&gt;"",E14,IF(D14="",Start!$B$13,D14))+Start!$B$11)</f>
        <v/>
      </c>
    </row>
    <row r="15" customFormat="false" ht="15" hidden="false" customHeight="false" outlineLevel="0" collapsed="false">
      <c r="A15" s="5"/>
      <c r="B15" s="5"/>
      <c r="C15" s="8"/>
      <c r="D15" s="7"/>
      <c r="E15" s="7"/>
      <c r="F15" s="5"/>
      <c r="G15" s="12" t="str">
        <f aca="false">IF(OR(C15="",C15=0,F15&lt;&gt;""),"",IF(E15&lt;&gt;"",E15,IF(D15="",Start!$B$13,D15))+Start!$B$11)</f>
        <v/>
      </c>
    </row>
    <row r="16" customFormat="false" ht="15" hidden="false" customHeight="false" outlineLevel="0" collapsed="false">
      <c r="A16" s="5"/>
      <c r="B16" s="5"/>
      <c r="C16" s="8"/>
      <c r="D16" s="7"/>
      <c r="E16" s="7"/>
      <c r="F16" s="5"/>
      <c r="G16" s="12" t="str">
        <f aca="false">IF(OR(C16="",C16=0,F16&lt;&gt;""),"",IF(E16&lt;&gt;"",E16,IF(D16="",Start!$B$13,D16))+Start!$B$11)</f>
        <v/>
      </c>
    </row>
    <row r="17" customFormat="false" ht="15" hidden="false" customHeight="false" outlineLevel="0" collapsed="false">
      <c r="A17" s="5"/>
      <c r="B17" s="5"/>
      <c r="C17" s="8"/>
      <c r="D17" s="7"/>
      <c r="E17" s="7"/>
      <c r="F17" s="5"/>
      <c r="G17" s="12" t="str">
        <f aca="false">IF(OR(C17="",C17=0,F17&lt;&gt;""),"",IF(E17&lt;&gt;"",E17,IF(D17="",Start!$B$13,D17))+Start!$B$11)</f>
        <v/>
      </c>
    </row>
    <row r="18" customFormat="false" ht="15" hidden="false" customHeight="false" outlineLevel="0" collapsed="false">
      <c r="A18" s="5"/>
      <c r="B18" s="5"/>
      <c r="C18" s="8"/>
      <c r="D18" s="7"/>
      <c r="E18" s="7"/>
      <c r="F18" s="5"/>
      <c r="G18" s="12" t="str">
        <f aca="false">IF(OR(C18="",C18=0,F18&lt;&gt;""),"",IF(E18&lt;&gt;"",E18,IF(D18="",Start!$B$13,D18))+Start!$B$11)</f>
        <v/>
      </c>
    </row>
    <row r="19" customFormat="false" ht="15" hidden="false" customHeight="false" outlineLevel="0" collapsed="false">
      <c r="A19" s="5"/>
      <c r="B19" s="5"/>
      <c r="C19" s="8"/>
      <c r="D19" s="7"/>
      <c r="E19" s="7"/>
      <c r="F19" s="5"/>
      <c r="G19" s="12" t="str">
        <f aca="false">IF(OR(C19="",C19=0,F19&lt;&gt;""),"",IF(E19&lt;&gt;"",E19,IF(D19="",Start!$B$13,D19))+Start!$B$11)</f>
        <v/>
      </c>
    </row>
    <row r="20" customFormat="false" ht="15" hidden="false" customHeight="false" outlineLevel="0" collapsed="false">
      <c r="A20" s="5"/>
      <c r="B20" s="5"/>
      <c r="C20" s="8"/>
      <c r="D20" s="7"/>
      <c r="E20" s="7"/>
      <c r="F20" s="5"/>
      <c r="G20" s="12" t="str">
        <f aca="false">IF(OR(C20="",C20=0,F20&lt;&gt;""),"",IF(E20&lt;&gt;"",E20,IF(D20="",Start!$B$13,D20))+Start!$B$11)</f>
        <v/>
      </c>
    </row>
    <row r="21" customFormat="false" ht="15" hidden="false" customHeight="false" outlineLevel="0" collapsed="false">
      <c r="A21" s="5"/>
      <c r="B21" s="5"/>
      <c r="C21" s="8"/>
      <c r="D21" s="7"/>
      <c r="E21" s="7"/>
      <c r="F21" s="5"/>
      <c r="G21" s="12" t="str">
        <f aca="false">IF(OR(C21="",C21=0,F21&lt;&gt;""),"",IF(E21&lt;&gt;"",E21,IF(D21="",Start!$B$13,D21))+Start!$B$11)</f>
        <v/>
      </c>
    </row>
    <row r="22" customFormat="false" ht="15" hidden="false" customHeight="false" outlineLevel="0" collapsed="false">
      <c r="A22" s="5"/>
      <c r="B22" s="5"/>
      <c r="C22" s="8"/>
      <c r="D22" s="7"/>
      <c r="E22" s="7"/>
      <c r="F22" s="5"/>
      <c r="G22" s="12" t="str">
        <f aca="false">IF(OR(C22="",C22=0,F22&lt;&gt;""),"",IF(E22&lt;&gt;"",E22,IF(D22="",Start!$B$13,D22))+Start!$B$11)</f>
        <v/>
      </c>
    </row>
    <row r="23" customFormat="false" ht="15" hidden="false" customHeight="false" outlineLevel="0" collapsed="false">
      <c r="A23" s="5"/>
      <c r="B23" s="5"/>
      <c r="C23" s="8"/>
      <c r="D23" s="7"/>
      <c r="E23" s="7"/>
      <c r="F23" s="5"/>
      <c r="G23" s="12" t="str">
        <f aca="false">IF(OR(C23="",C23=0,F23&lt;&gt;""),"",IF(E23&lt;&gt;"",E23,IF(D23="",Start!$B$13,D23))+Start!$B$11)</f>
        <v/>
      </c>
    </row>
    <row r="24" customFormat="false" ht="15" hidden="false" customHeight="false" outlineLevel="0" collapsed="false">
      <c r="A24" s="5"/>
      <c r="B24" s="5"/>
      <c r="C24" s="8"/>
      <c r="D24" s="7"/>
      <c r="E24" s="7"/>
      <c r="F24" s="5"/>
      <c r="G24" s="12" t="str">
        <f aca="false">IF(OR(C24="",C24=0,F24&lt;&gt;""),"",IF(E24&lt;&gt;"",E24,IF(D24="",Start!$B$13,D24))+Start!$B$11)</f>
        <v/>
      </c>
    </row>
    <row r="25" customFormat="false" ht="15" hidden="false" customHeight="false" outlineLevel="0" collapsed="false">
      <c r="A25" s="5"/>
      <c r="B25" s="5"/>
      <c r="C25" s="8"/>
      <c r="D25" s="7"/>
      <c r="E25" s="7"/>
      <c r="F25" s="5"/>
      <c r="G25" s="12" t="str">
        <f aca="false">IF(OR(C25="",C25=0,F25&lt;&gt;""),"",IF(E25&lt;&gt;"",E25,IF(D25="",Start!$B$13,D25))+Start!$B$11)</f>
        <v/>
      </c>
    </row>
    <row r="26" customFormat="false" ht="15" hidden="false" customHeight="false" outlineLevel="0" collapsed="false">
      <c r="A26" s="5"/>
      <c r="B26" s="5"/>
      <c r="C26" s="8"/>
      <c r="D26" s="7"/>
      <c r="E26" s="7"/>
      <c r="F26" s="5"/>
      <c r="G26" s="12" t="str">
        <f aca="false">IF(OR(C26="",C26=0,F26&lt;&gt;""),"",IF(E26&lt;&gt;"",E26,IF(D26="",Start!$B$13,D26))+Start!$B$11)</f>
        <v/>
      </c>
    </row>
    <row r="27" customFormat="false" ht="15" hidden="false" customHeight="false" outlineLevel="0" collapsed="false">
      <c r="A27" s="5"/>
      <c r="B27" s="5"/>
      <c r="C27" s="8"/>
      <c r="D27" s="7"/>
      <c r="E27" s="7"/>
      <c r="F27" s="5"/>
      <c r="G27" s="12" t="str">
        <f aca="false">IF(OR(C27="",C27=0,F27&lt;&gt;""),"",IF(E27&lt;&gt;"",E27,IF(D27="",Start!$B$13,D27))+Start!$B$11)</f>
        <v/>
      </c>
    </row>
    <row r="28" customFormat="false" ht="15" hidden="false" customHeight="false" outlineLevel="0" collapsed="false">
      <c r="A28" s="5"/>
      <c r="B28" s="5"/>
      <c r="C28" s="8"/>
      <c r="D28" s="7"/>
      <c r="E28" s="7"/>
      <c r="F28" s="5"/>
      <c r="G28" s="12" t="str">
        <f aca="false">IF(OR(C28="",C28=0,F28&lt;&gt;""),"",IF(E28&lt;&gt;"",E28,IF(D28="",Start!$B$13,D28))+Start!$B$11)</f>
        <v/>
      </c>
    </row>
    <row r="29" customFormat="false" ht="15" hidden="false" customHeight="false" outlineLevel="0" collapsed="false">
      <c r="A29" s="5"/>
      <c r="B29" s="5"/>
      <c r="C29" s="8"/>
      <c r="D29" s="7"/>
      <c r="E29" s="7"/>
      <c r="F29" s="5"/>
      <c r="G29" s="12" t="str">
        <f aca="false">IF(OR(C29="",C29=0,F29&lt;&gt;""),"",IF(E29&lt;&gt;"",E29,IF(D29="",Start!$B$13,D29))+Start!$B$11)</f>
        <v/>
      </c>
    </row>
    <row r="30" customFormat="false" ht="15" hidden="false" customHeight="false" outlineLevel="0" collapsed="false">
      <c r="A30" s="5"/>
      <c r="B30" s="5"/>
      <c r="C30" s="8"/>
      <c r="D30" s="7"/>
      <c r="E30" s="7"/>
      <c r="F30" s="5"/>
      <c r="G30" s="12" t="str">
        <f aca="false">IF(OR(C30="",C30=0,F30&lt;&gt;""),"",IF(E30&lt;&gt;"",E30,IF(D30="",Start!$B$13,D30))+Start!$B$11)</f>
        <v/>
      </c>
    </row>
    <row r="31" customFormat="false" ht="15" hidden="false" customHeight="false" outlineLevel="0" collapsed="false">
      <c r="A31" s="5"/>
      <c r="B31" s="5"/>
      <c r="C31" s="8"/>
      <c r="D31" s="7"/>
      <c r="E31" s="7"/>
      <c r="F31" s="5"/>
      <c r="G31" s="12" t="str">
        <f aca="false">IF(OR(C31="",C31=0,F31&lt;&gt;""),"",IF(E31&lt;&gt;"",E31,IF(D31="",Start!$B$13,D31))+Start!$B$11)</f>
        <v/>
      </c>
    </row>
    <row r="32" customFormat="false" ht="15" hidden="false" customHeight="false" outlineLevel="0" collapsed="false">
      <c r="A32" s="5"/>
      <c r="B32" s="5"/>
      <c r="C32" s="8"/>
      <c r="D32" s="7"/>
      <c r="E32" s="7"/>
      <c r="F32" s="5"/>
      <c r="G32" s="12" t="str">
        <f aca="false">IF(OR(C32="",C32=0,F32&lt;&gt;""),"",IF(E32&lt;&gt;"",E32,IF(D32="",Start!$B$13,D32))+Start!$B$11)</f>
        <v/>
      </c>
    </row>
    <row r="33" customFormat="false" ht="15" hidden="false" customHeight="false" outlineLevel="0" collapsed="false">
      <c r="A33" s="5"/>
      <c r="B33" s="5"/>
      <c r="C33" s="8"/>
      <c r="D33" s="7"/>
      <c r="E33" s="7"/>
      <c r="F33" s="5"/>
      <c r="G33" s="12" t="str">
        <f aca="false">IF(OR(C33="",C33=0,F33&lt;&gt;""),"",IF(E33&lt;&gt;"",E33,IF(D33="",Start!$B$13,D33))+Start!$B$11)</f>
        <v/>
      </c>
    </row>
    <row r="34" customFormat="false" ht="15" hidden="false" customHeight="false" outlineLevel="0" collapsed="false">
      <c r="A34" s="5"/>
      <c r="B34" s="5"/>
      <c r="C34" s="8"/>
      <c r="D34" s="7"/>
      <c r="E34" s="7"/>
      <c r="F34" s="5"/>
      <c r="G34" s="12" t="str">
        <f aca="false">IF(OR(C34="",C34=0,F34&lt;&gt;""),"",IF(E34&lt;&gt;"",E34,IF(D34="",Start!$B$13,D34))+Start!$B$11)</f>
        <v/>
      </c>
    </row>
    <row r="35" customFormat="false" ht="15" hidden="false" customHeight="false" outlineLevel="0" collapsed="false">
      <c r="A35" s="5"/>
      <c r="B35" s="5"/>
      <c r="C35" s="8"/>
      <c r="D35" s="7"/>
      <c r="E35" s="7"/>
      <c r="F35" s="5"/>
      <c r="G35" s="12" t="str">
        <f aca="false">IF(OR(C35="",C35=0,F35&lt;&gt;""),"",IF(E35&lt;&gt;"",E35,IF(D35="",Start!$B$13,D35))+Start!$B$11)</f>
        <v/>
      </c>
    </row>
    <row r="36" customFormat="false" ht="15" hidden="false" customHeight="false" outlineLevel="0" collapsed="false">
      <c r="A36" s="5"/>
      <c r="B36" s="5"/>
      <c r="C36" s="8"/>
      <c r="D36" s="7"/>
      <c r="E36" s="7"/>
      <c r="F36" s="5"/>
      <c r="G36" s="12" t="str">
        <f aca="false">IF(OR(C36="",C36=0,F36&lt;&gt;""),"",IF(E36&lt;&gt;"",E36,IF(D36="",Start!$B$13,D36))+Start!$B$11)</f>
        <v/>
      </c>
    </row>
    <row r="37" customFormat="false" ht="15" hidden="false" customHeight="false" outlineLevel="0" collapsed="false">
      <c r="A37" s="5"/>
      <c r="B37" s="5"/>
      <c r="C37" s="8"/>
      <c r="D37" s="7"/>
      <c r="E37" s="7"/>
      <c r="F37" s="5"/>
      <c r="G37" s="12" t="str">
        <f aca="false">IF(OR(C37="",C37=0,F37&lt;&gt;""),"",IF(E37&lt;&gt;"",E37,IF(D37="",Start!$B$13,D37))+Start!$B$11)</f>
        <v/>
      </c>
    </row>
    <row r="38" customFormat="false" ht="15" hidden="false" customHeight="false" outlineLevel="0" collapsed="false">
      <c r="A38" s="5"/>
      <c r="B38" s="5"/>
      <c r="C38" s="8"/>
      <c r="D38" s="7"/>
      <c r="E38" s="7"/>
      <c r="F38" s="5"/>
      <c r="G38" s="12" t="str">
        <f aca="false">IF(OR(C38="",C38=0,F38&lt;&gt;""),"",IF(E38&lt;&gt;"",E38,IF(D38="",Start!$B$13,D38))+Start!$B$11)</f>
        <v/>
      </c>
    </row>
    <row r="39" customFormat="false" ht="15" hidden="false" customHeight="false" outlineLevel="0" collapsed="false">
      <c r="A39" s="5"/>
      <c r="B39" s="5"/>
      <c r="C39" s="8"/>
      <c r="D39" s="7"/>
      <c r="E39" s="7"/>
      <c r="F39" s="5"/>
      <c r="G39" s="12" t="str">
        <f aca="false">IF(OR(C39="",C39=0,F39&lt;&gt;""),"",IF(E39&lt;&gt;"",E39,IF(D39="",Start!$B$13,D39))+Start!$B$11)</f>
        <v/>
      </c>
    </row>
    <row r="40" customFormat="false" ht="15" hidden="false" customHeight="false" outlineLevel="0" collapsed="false">
      <c r="A40" s="5"/>
      <c r="B40" s="5"/>
      <c r="C40" s="8"/>
      <c r="D40" s="7"/>
      <c r="E40" s="7"/>
      <c r="F40" s="5"/>
      <c r="G40" s="12" t="str">
        <f aca="false">IF(OR(C40="",C40=0,F40&lt;&gt;""),"",IF(E40&lt;&gt;"",E40,IF(D40="",Start!$B$13,D40))+Start!$B$11)</f>
        <v/>
      </c>
    </row>
    <row r="41" customFormat="false" ht="15" hidden="false" customHeight="false" outlineLevel="0" collapsed="false">
      <c r="A41" s="5"/>
      <c r="B41" s="5"/>
      <c r="C41" s="8"/>
      <c r="D41" s="7"/>
      <c r="E41" s="7"/>
      <c r="F41" s="5"/>
      <c r="G41" s="12" t="str">
        <f aca="false">IF(OR(C41="",C41=0,F41&lt;&gt;""),"",IF(E41&lt;&gt;"",E41,IF(D41="",Start!$B$13,D41))+Start!$B$11)</f>
        <v/>
      </c>
    </row>
    <row r="42" customFormat="false" ht="15" hidden="false" customHeight="false" outlineLevel="0" collapsed="false">
      <c r="A42" s="5"/>
      <c r="B42" s="5"/>
      <c r="C42" s="8"/>
      <c r="D42" s="7"/>
      <c r="E42" s="7"/>
      <c r="F42" s="5"/>
      <c r="G42" s="12" t="str">
        <f aca="false">IF(OR(C42="",C42=0,F42&lt;&gt;""),"",IF(E42&lt;&gt;"",E42,IF(D42="",Start!$B$13,D42))+Start!$B$11)</f>
        <v/>
      </c>
    </row>
    <row r="43" customFormat="false" ht="15" hidden="false" customHeight="false" outlineLevel="0" collapsed="false">
      <c r="A43" s="5"/>
      <c r="B43" s="5"/>
      <c r="C43" s="8"/>
      <c r="D43" s="7"/>
      <c r="E43" s="7"/>
      <c r="F43" s="5"/>
      <c r="G43" s="12" t="str">
        <f aca="false">IF(OR(C43="",C43=0,F43&lt;&gt;""),"",IF(E43&lt;&gt;"",E43,IF(D43="",Start!$B$13,D43))+Start!$B$11)</f>
        <v/>
      </c>
    </row>
    <row r="44" customFormat="false" ht="15" hidden="false" customHeight="false" outlineLevel="0" collapsed="false">
      <c r="A44" s="5"/>
      <c r="B44" s="5"/>
      <c r="C44" s="8"/>
      <c r="D44" s="7"/>
      <c r="E44" s="7"/>
      <c r="F44" s="5"/>
      <c r="G44" s="12" t="str">
        <f aca="false">IF(OR(C44="",C44=0,F44&lt;&gt;""),"",IF(E44&lt;&gt;"",E44,IF(D44="",Start!$B$13,D44))+Start!$B$11)</f>
        <v/>
      </c>
    </row>
    <row r="45" customFormat="false" ht="15" hidden="false" customHeight="false" outlineLevel="0" collapsed="false">
      <c r="A45" s="5"/>
      <c r="B45" s="5"/>
      <c r="C45" s="8"/>
      <c r="D45" s="7"/>
      <c r="E45" s="7"/>
      <c r="F45" s="5"/>
      <c r="G45" s="12" t="str">
        <f aca="false">IF(OR(C45="",C45=0,F45&lt;&gt;""),"",IF(E45&lt;&gt;"",E45,IF(D45="",Start!$B$13,D45))+Start!$B$11)</f>
        <v/>
      </c>
    </row>
    <row r="46" customFormat="false" ht="15" hidden="false" customHeight="false" outlineLevel="0" collapsed="false">
      <c r="A46" s="5"/>
      <c r="B46" s="5"/>
      <c r="C46" s="8"/>
      <c r="D46" s="7"/>
      <c r="E46" s="7"/>
      <c r="F46" s="5"/>
      <c r="G46" s="12" t="str">
        <f aca="false">IF(OR(C46="",C46=0,F46&lt;&gt;""),"",IF(E46&lt;&gt;"",E46,IF(D46="",Start!$B$13,D46))+Start!$B$11)</f>
        <v/>
      </c>
    </row>
    <row r="47" customFormat="false" ht="15" hidden="false" customHeight="false" outlineLevel="0" collapsed="false">
      <c r="A47" s="5"/>
      <c r="B47" s="5"/>
      <c r="C47" s="8"/>
      <c r="D47" s="7"/>
      <c r="E47" s="7"/>
      <c r="F47" s="5"/>
      <c r="G47" s="12" t="str">
        <f aca="false">IF(OR(C47="",C47=0,F47&lt;&gt;""),"",IF(E47&lt;&gt;"",E47,IF(D47="",Start!$B$13,D47))+Start!$B$11)</f>
        <v/>
      </c>
    </row>
    <row r="48" customFormat="false" ht="15" hidden="false" customHeight="false" outlineLevel="0" collapsed="false">
      <c r="A48" s="5"/>
      <c r="B48" s="5"/>
      <c r="C48" s="8"/>
      <c r="D48" s="7"/>
      <c r="E48" s="7"/>
      <c r="F48" s="5"/>
      <c r="G48" s="12" t="str">
        <f aca="false">IF(OR(C48="",C48=0,F48&lt;&gt;""),"",IF(E48&lt;&gt;"",E48,IF(D48="",Start!$B$13,D48))+Start!$B$11)</f>
        <v/>
      </c>
    </row>
    <row r="49" customFormat="false" ht="15" hidden="false" customHeight="false" outlineLevel="0" collapsed="false">
      <c r="A49" s="5"/>
      <c r="B49" s="5"/>
      <c r="C49" s="8"/>
      <c r="D49" s="7"/>
      <c r="E49" s="7"/>
      <c r="F49" s="5"/>
      <c r="G49" s="12" t="str">
        <f aca="false">IF(OR(C49="",C49=0,F49&lt;&gt;""),"",IF(E49&lt;&gt;"",E49,IF(D49="",Start!$B$13,D49))+Start!$B$11)</f>
        <v/>
      </c>
    </row>
    <row r="50" customFormat="false" ht="15" hidden="false" customHeight="false" outlineLevel="0" collapsed="false">
      <c r="A50" s="5"/>
      <c r="B50" s="5"/>
      <c r="C50" s="8"/>
      <c r="D50" s="7"/>
      <c r="E50" s="7"/>
      <c r="F50" s="5"/>
      <c r="G50" s="12" t="str">
        <f aca="false">IF(OR(C50="",C50=0,F50&lt;&gt;""),"",IF(E50&lt;&gt;"",E50,IF(D50="",Start!$B$13,D50))+Start!$B$11)</f>
        <v/>
      </c>
    </row>
    <row r="51" customFormat="false" ht="15" hidden="false" customHeight="false" outlineLevel="0" collapsed="false">
      <c r="A51" s="5"/>
      <c r="B51" s="5"/>
      <c r="C51" s="8"/>
      <c r="D51" s="7"/>
      <c r="E51" s="7"/>
      <c r="F51" s="5"/>
      <c r="G51" s="12" t="str">
        <f aca="false">IF(OR(C51="",C51=0,F51&lt;&gt;""),"",IF(E51&lt;&gt;"",E51,IF(D51="",Start!$B$13,D51))+Start!$B$11)</f>
        <v/>
      </c>
    </row>
    <row r="52" customFormat="false" ht="15" hidden="false" customHeight="false" outlineLevel="0" collapsed="false">
      <c r="A52" s="5"/>
      <c r="B52" s="5"/>
      <c r="C52" s="8"/>
      <c r="D52" s="7"/>
      <c r="E52" s="7"/>
      <c r="F52" s="5"/>
      <c r="G52" s="12" t="str">
        <f aca="false">IF(OR(C52="",C52=0,F52&lt;&gt;""),"",IF(E52&lt;&gt;"",E52,IF(D52="",Start!$B$13,D52))+Start!$B$11)</f>
        <v/>
      </c>
    </row>
    <row r="53" customFormat="false" ht="15" hidden="false" customHeight="false" outlineLevel="0" collapsed="false">
      <c r="A53" s="5"/>
      <c r="B53" s="5"/>
      <c r="C53" s="8"/>
      <c r="D53" s="7"/>
      <c r="E53" s="7"/>
      <c r="F53" s="5"/>
      <c r="G53" s="12" t="str">
        <f aca="false">IF(OR(C53="",C53=0,F53&lt;&gt;""),"",IF(E53&lt;&gt;"",E53,IF(D53="",Start!$B$13,D53))+Start!$B$11)</f>
        <v/>
      </c>
    </row>
    <row r="54" customFormat="false" ht="15" hidden="false" customHeight="false" outlineLevel="0" collapsed="false">
      <c r="A54" s="5"/>
      <c r="B54" s="5"/>
      <c r="C54" s="8"/>
      <c r="D54" s="7"/>
      <c r="E54" s="7"/>
      <c r="F54" s="5"/>
      <c r="G54" s="12" t="str">
        <f aca="false">IF(OR(C54="",C54=0,F54&lt;&gt;""),"",IF(E54&lt;&gt;"",E54,IF(D54="",Start!$B$13,D54))+Start!$B$11)</f>
        <v/>
      </c>
    </row>
    <row r="55" customFormat="false" ht="15" hidden="false" customHeight="false" outlineLevel="0" collapsed="false">
      <c r="A55" s="5"/>
      <c r="B55" s="5"/>
      <c r="C55" s="8"/>
      <c r="D55" s="7"/>
      <c r="E55" s="7"/>
      <c r="F55" s="5"/>
      <c r="G55" s="12" t="str">
        <f aca="false">IF(OR(C55="",C55=0,F55&lt;&gt;""),"",IF(E55&lt;&gt;"",E55,IF(D55="",Start!$B$13,D55))+Start!$B$11)</f>
        <v/>
      </c>
    </row>
    <row r="56" customFormat="false" ht="15" hidden="false" customHeight="false" outlineLevel="0" collapsed="false">
      <c r="A56" s="5"/>
      <c r="B56" s="5"/>
      <c r="C56" s="8"/>
      <c r="D56" s="7"/>
      <c r="E56" s="7"/>
      <c r="F56" s="5"/>
      <c r="G56" s="12" t="str">
        <f aca="false">IF(OR(C56="",C56=0,F56&lt;&gt;""),"",IF(E56&lt;&gt;"",E56,IF(D56="",Start!$B$13,D56))+Start!$B$11)</f>
        <v/>
      </c>
    </row>
    <row r="57" customFormat="false" ht="15" hidden="false" customHeight="false" outlineLevel="0" collapsed="false">
      <c r="A57" s="5"/>
      <c r="B57" s="5"/>
      <c r="C57" s="8"/>
      <c r="D57" s="7"/>
      <c r="E57" s="7"/>
      <c r="F57" s="5"/>
      <c r="G57" s="12" t="str">
        <f aca="false">IF(OR(C57="",C57=0,F57&lt;&gt;""),"",IF(E57&lt;&gt;"",E57,IF(D57="",Start!$B$13,D57))+Start!$B$11)</f>
        <v/>
      </c>
    </row>
    <row r="58" customFormat="false" ht="15" hidden="false" customHeight="false" outlineLevel="0" collapsed="false">
      <c r="A58" s="5"/>
      <c r="B58" s="5"/>
      <c r="C58" s="8"/>
      <c r="D58" s="7"/>
      <c r="E58" s="7"/>
      <c r="F58" s="5"/>
      <c r="G58" s="12" t="str">
        <f aca="false">IF(OR(C58="",C58=0,F58&lt;&gt;""),"",IF(E58&lt;&gt;"",E58,IF(D58="",Start!$B$13,D58))+Start!$B$11)</f>
        <v/>
      </c>
    </row>
    <row r="59" customFormat="false" ht="15" hidden="false" customHeight="false" outlineLevel="0" collapsed="false">
      <c r="A59" s="5"/>
      <c r="B59" s="5"/>
      <c r="C59" s="8"/>
      <c r="D59" s="7"/>
      <c r="E59" s="7"/>
      <c r="F59" s="5"/>
      <c r="G59" s="12" t="str">
        <f aca="false">IF(OR(C59="",C59=0,F59&lt;&gt;""),"",IF(E59&lt;&gt;"",E59,IF(D59="",Start!$B$13,D59))+Start!$B$11)</f>
        <v/>
      </c>
    </row>
    <row r="60" customFormat="false" ht="15" hidden="false" customHeight="false" outlineLevel="0" collapsed="false">
      <c r="A60" s="5"/>
      <c r="B60" s="5"/>
      <c r="C60" s="8"/>
      <c r="D60" s="7"/>
      <c r="E60" s="7"/>
      <c r="F60" s="5"/>
      <c r="G60" s="12" t="str">
        <f aca="false">IF(OR(C60="",C60=0,F60&lt;&gt;""),"",IF(E60&lt;&gt;"",E60,IF(D60="",Start!$B$13,D60))+Start!$B$11)</f>
        <v/>
      </c>
    </row>
    <row r="61" customFormat="false" ht="15" hidden="false" customHeight="false" outlineLevel="0" collapsed="false">
      <c r="A61" s="5"/>
      <c r="B61" s="5"/>
      <c r="C61" s="8"/>
      <c r="D61" s="7"/>
      <c r="E61" s="7"/>
      <c r="F61" s="5"/>
      <c r="G61" s="12" t="str">
        <f aca="false">IF(OR(C61="",C61=0,F61&lt;&gt;""),"",IF(E61&lt;&gt;"",E61,IF(D61="",Start!$B$13,D61))+Start!$B$11)</f>
        <v/>
      </c>
    </row>
    <row r="62" customFormat="false" ht="15" hidden="false" customHeight="false" outlineLevel="0" collapsed="false">
      <c r="A62" s="5"/>
      <c r="B62" s="5"/>
      <c r="C62" s="8"/>
      <c r="D62" s="7"/>
      <c r="E62" s="7"/>
      <c r="F62" s="5"/>
      <c r="G62" s="12" t="str">
        <f aca="false">IF(OR(C62="",C62=0,F62&lt;&gt;""),"",IF(E62&lt;&gt;"",E62,IF(D62="",Start!$B$13,D62))+Start!$B$11)</f>
        <v/>
      </c>
    </row>
    <row r="63" customFormat="false" ht="15" hidden="false" customHeight="false" outlineLevel="0" collapsed="false">
      <c r="A63" s="5"/>
      <c r="B63" s="5"/>
      <c r="C63" s="8"/>
      <c r="D63" s="7"/>
      <c r="E63" s="7"/>
      <c r="F63" s="5"/>
      <c r="G63" s="12" t="str">
        <f aca="false">IF(OR(C63="",C63=0,F63&lt;&gt;""),"",IF(E63&lt;&gt;"",E63,IF(D63="",Start!$B$13,D63))+Start!$B$11)</f>
        <v/>
      </c>
    </row>
    <row r="64" customFormat="false" ht="15" hidden="false" customHeight="false" outlineLevel="0" collapsed="false">
      <c r="A64" s="5"/>
      <c r="B64" s="5"/>
      <c r="C64" s="8"/>
      <c r="D64" s="7"/>
      <c r="E64" s="7"/>
      <c r="F64" s="5"/>
      <c r="G64" s="12" t="str">
        <f aca="false">IF(OR(C64="",C64=0,F64&lt;&gt;""),"",IF(E64&lt;&gt;"",E64,IF(D64="",Start!$B$13,D64))+Start!$B$11)</f>
        <v/>
      </c>
    </row>
    <row r="65" customFormat="false" ht="15" hidden="false" customHeight="false" outlineLevel="0" collapsed="false">
      <c r="A65" s="17" t="s">
        <v>48</v>
      </c>
      <c r="C65" s="18" t="n">
        <f aca="false">SUMIFS(C5:C64,F5:F64,"")</f>
        <v>0</v>
      </c>
    </row>
    <row r="66" customFormat="false" ht="39.75" hidden="false" customHeight="true" outlineLevel="0" collapsed="false">
      <c r="A66" s="19" t="s">
        <v>49</v>
      </c>
      <c r="B66" s="19"/>
      <c r="C66" s="19"/>
      <c r="D66" s="19"/>
      <c r="E66" s="19"/>
      <c r="F66" s="19"/>
      <c r="G66" s="19"/>
    </row>
    <row r="68" customFormat="false" ht="15" hidden="false" customHeight="false" outlineLevel="0" collapsed="false">
      <c r="A68" s="3" t="s">
        <v>50</v>
      </c>
    </row>
    <row r="69" customFormat="false" ht="23.85" hidden="false" customHeight="false" outlineLevel="0" collapsed="false">
      <c r="A69" s="16" t="s">
        <v>51</v>
      </c>
      <c r="B69" s="16" t="s">
        <v>42</v>
      </c>
      <c r="C69" s="16" t="s">
        <v>43</v>
      </c>
      <c r="D69" s="16" t="s">
        <v>44</v>
      </c>
      <c r="E69" s="16" t="s">
        <v>52</v>
      </c>
      <c r="F69" s="16" t="s">
        <v>46</v>
      </c>
      <c r="G69" s="16" t="s">
        <v>47</v>
      </c>
    </row>
    <row r="70" customFormat="false" ht="15" hidden="false" customHeight="false" outlineLevel="0" collapsed="false">
      <c r="A70" s="5"/>
      <c r="B70" s="5"/>
      <c r="C70" s="8"/>
      <c r="D70" s="7"/>
      <c r="E70" s="7"/>
      <c r="F70" s="5"/>
      <c r="G70" s="12" t="str">
        <f aca="false">IF(OR(C70="",C70=0,F70&lt;&gt;""),"",IF(E70&lt;&gt;"",E70,IF(D70="",Start!$B$13,D70)))</f>
        <v/>
      </c>
    </row>
    <row r="71" customFormat="false" ht="15" hidden="false" customHeight="false" outlineLevel="0" collapsed="false">
      <c r="A71" s="5"/>
      <c r="B71" s="5"/>
      <c r="C71" s="8"/>
      <c r="D71" s="7"/>
      <c r="E71" s="7"/>
      <c r="F71" s="5"/>
      <c r="G71" s="12" t="str">
        <f aca="false">IF(OR(C71="",C71=0,F71&lt;&gt;""),"",IF(E71&lt;&gt;"",E71,IF(D71="",Start!$B$13,D71)))</f>
        <v/>
      </c>
    </row>
    <row r="72" customFormat="false" ht="15" hidden="false" customHeight="false" outlineLevel="0" collapsed="false">
      <c r="A72" s="5"/>
      <c r="B72" s="5"/>
      <c r="C72" s="8"/>
      <c r="D72" s="7"/>
      <c r="E72" s="7"/>
      <c r="F72" s="5"/>
      <c r="G72" s="12" t="str">
        <f aca="false">IF(OR(C72="",C72=0,F72&lt;&gt;""),"",IF(E72&lt;&gt;"",E72,IF(D72="",Start!$B$13,D72)))</f>
        <v/>
      </c>
    </row>
    <row r="73" customFormat="false" ht="15" hidden="false" customHeight="false" outlineLevel="0" collapsed="false">
      <c r="A73" s="5"/>
      <c r="B73" s="5"/>
      <c r="C73" s="8"/>
      <c r="D73" s="7"/>
      <c r="E73" s="7"/>
      <c r="F73" s="5"/>
      <c r="G73" s="12" t="str">
        <f aca="false">IF(OR(C73="",C73=0,F73&lt;&gt;""),"",IF(E73&lt;&gt;"",E73,IF(D73="",Start!$B$13,D73)))</f>
        <v/>
      </c>
    </row>
    <row r="74" customFormat="false" ht="15" hidden="false" customHeight="false" outlineLevel="0" collapsed="false">
      <c r="A74" s="5"/>
      <c r="B74" s="5"/>
      <c r="C74" s="8"/>
      <c r="D74" s="7"/>
      <c r="E74" s="7"/>
      <c r="F74" s="5"/>
      <c r="G74" s="12" t="str">
        <f aca="false">IF(OR(C74="",C74=0,F74&lt;&gt;""),"",IF(E74&lt;&gt;"",E74,IF(D74="",Start!$B$13,D74)))</f>
        <v/>
      </c>
    </row>
    <row r="75" customFormat="false" ht="15" hidden="false" customHeight="false" outlineLevel="0" collapsed="false">
      <c r="A75" s="5"/>
      <c r="B75" s="5"/>
      <c r="C75" s="8"/>
      <c r="D75" s="7"/>
      <c r="E75" s="7"/>
      <c r="F75" s="5"/>
      <c r="G75" s="12" t="str">
        <f aca="false">IF(OR(C75="",C75=0,F75&lt;&gt;""),"",IF(E75&lt;&gt;"",E75,IF(D75="",Start!$B$13,D75)))</f>
        <v/>
      </c>
    </row>
    <row r="76" customFormat="false" ht="15" hidden="false" customHeight="false" outlineLevel="0" collapsed="false">
      <c r="A76" s="5"/>
      <c r="B76" s="5"/>
      <c r="C76" s="8"/>
      <c r="D76" s="7"/>
      <c r="E76" s="7"/>
      <c r="F76" s="5"/>
      <c r="G76" s="12" t="str">
        <f aca="false">IF(OR(C76="",C76=0,F76&lt;&gt;""),"",IF(E76&lt;&gt;"",E76,IF(D76="",Start!$B$13,D76)))</f>
        <v/>
      </c>
    </row>
    <row r="77" customFormat="false" ht="15" hidden="false" customHeight="false" outlineLevel="0" collapsed="false">
      <c r="A77" s="5"/>
      <c r="B77" s="5"/>
      <c r="C77" s="8"/>
      <c r="D77" s="7"/>
      <c r="E77" s="7"/>
      <c r="F77" s="5"/>
      <c r="G77" s="12" t="str">
        <f aca="false">IF(OR(C77="",C77=0,F77&lt;&gt;""),"",IF(E77&lt;&gt;"",E77,IF(D77="",Start!$B$13,D77)))</f>
        <v/>
      </c>
    </row>
    <row r="78" customFormat="false" ht="15" hidden="false" customHeight="false" outlineLevel="0" collapsed="false">
      <c r="A78" s="5"/>
      <c r="B78" s="5"/>
      <c r="C78" s="8"/>
      <c r="D78" s="7"/>
      <c r="E78" s="7"/>
      <c r="F78" s="5"/>
      <c r="G78" s="12" t="str">
        <f aca="false">IF(OR(C78="",C78=0,F78&lt;&gt;""),"",IF(E78&lt;&gt;"",E78,IF(D78="",Start!$B$13,D78)))</f>
        <v/>
      </c>
    </row>
    <row r="79" customFormat="false" ht="15" hidden="false" customHeight="false" outlineLevel="0" collapsed="false">
      <c r="A79" s="5"/>
      <c r="B79" s="5"/>
      <c r="C79" s="8"/>
      <c r="D79" s="7"/>
      <c r="E79" s="7"/>
      <c r="F79" s="5"/>
      <c r="G79" s="12" t="str">
        <f aca="false">IF(OR(C79="",C79=0,F79&lt;&gt;""),"",IF(E79&lt;&gt;"",E79,IF(D79="",Start!$B$13,D79)))</f>
        <v/>
      </c>
    </row>
    <row r="80" customFormat="false" ht="15" hidden="false" customHeight="false" outlineLevel="0" collapsed="false">
      <c r="A80" s="5"/>
      <c r="B80" s="5"/>
      <c r="C80" s="8"/>
      <c r="D80" s="7"/>
      <c r="E80" s="7"/>
      <c r="F80" s="5"/>
      <c r="G80" s="12" t="str">
        <f aca="false">IF(OR(C80="",C80=0,F80&lt;&gt;""),"",IF(E80&lt;&gt;"",E80,IF(D80="",Start!$B$13,D80)))</f>
        <v/>
      </c>
    </row>
    <row r="81" customFormat="false" ht="15" hidden="false" customHeight="false" outlineLevel="0" collapsed="false">
      <c r="A81" s="5"/>
      <c r="B81" s="5"/>
      <c r="C81" s="8"/>
      <c r="D81" s="7"/>
      <c r="E81" s="7"/>
      <c r="F81" s="5"/>
      <c r="G81" s="12" t="str">
        <f aca="false">IF(OR(C81="",C81=0,F81&lt;&gt;""),"",IF(E81&lt;&gt;"",E81,IF(D81="",Start!$B$13,D81)))</f>
        <v/>
      </c>
    </row>
    <row r="82" customFormat="false" ht="15" hidden="false" customHeight="false" outlineLevel="0" collapsed="false">
      <c r="A82" s="5"/>
      <c r="B82" s="5"/>
      <c r="C82" s="8"/>
      <c r="D82" s="7"/>
      <c r="E82" s="7"/>
      <c r="F82" s="5"/>
      <c r="G82" s="12" t="str">
        <f aca="false">IF(OR(C82="",C82=0,F82&lt;&gt;""),"",IF(E82&lt;&gt;"",E82,IF(D82="",Start!$B$13,D82)))</f>
        <v/>
      </c>
    </row>
    <row r="83" customFormat="false" ht="15" hidden="false" customHeight="false" outlineLevel="0" collapsed="false">
      <c r="A83" s="5"/>
      <c r="B83" s="5"/>
      <c r="C83" s="8"/>
      <c r="D83" s="7"/>
      <c r="E83" s="7"/>
      <c r="F83" s="5"/>
      <c r="G83" s="12" t="str">
        <f aca="false">IF(OR(C83="",C83=0,F83&lt;&gt;""),"",IF(E83&lt;&gt;"",E83,IF(D83="",Start!$B$13,D83)))</f>
        <v/>
      </c>
    </row>
    <row r="84" customFormat="false" ht="15" hidden="false" customHeight="false" outlineLevel="0" collapsed="false">
      <c r="A84" s="5"/>
      <c r="B84" s="5"/>
      <c r="C84" s="8"/>
      <c r="D84" s="7"/>
      <c r="E84" s="7"/>
      <c r="F84" s="5"/>
      <c r="G84" s="12" t="str">
        <f aca="false">IF(OR(C84="",C84=0,F84&lt;&gt;""),"",IF(E84&lt;&gt;"",E84,IF(D84="",Start!$B$13,D84)))</f>
        <v/>
      </c>
    </row>
    <row r="85" customFormat="false" ht="15" hidden="false" customHeight="false" outlineLevel="0" collapsed="false">
      <c r="A85" s="5"/>
      <c r="B85" s="5"/>
      <c r="C85" s="8"/>
      <c r="D85" s="7"/>
      <c r="E85" s="7"/>
      <c r="F85" s="5"/>
      <c r="G85" s="12" t="str">
        <f aca="false">IF(OR(C85="",C85=0,F85&lt;&gt;""),"",IF(E85&lt;&gt;"",E85,IF(D85="",Start!$B$13,D85)))</f>
        <v/>
      </c>
    </row>
    <row r="86" customFormat="false" ht="15" hidden="false" customHeight="false" outlineLevel="0" collapsed="false">
      <c r="A86" s="5"/>
      <c r="B86" s="5"/>
      <c r="C86" s="8"/>
      <c r="D86" s="7"/>
      <c r="E86" s="7"/>
      <c r="F86" s="5"/>
      <c r="G86" s="12" t="str">
        <f aca="false">IF(OR(C86="",C86=0,F86&lt;&gt;""),"",IF(E86&lt;&gt;"",E86,IF(D86="",Start!$B$13,D86)))</f>
        <v/>
      </c>
    </row>
    <row r="87" customFormat="false" ht="15" hidden="false" customHeight="false" outlineLevel="0" collapsed="false">
      <c r="A87" s="5"/>
      <c r="B87" s="5"/>
      <c r="C87" s="8"/>
      <c r="D87" s="7"/>
      <c r="E87" s="7"/>
      <c r="F87" s="5"/>
      <c r="G87" s="12" t="str">
        <f aca="false">IF(OR(C87="",C87=0,F87&lt;&gt;""),"",IF(E87&lt;&gt;"",E87,IF(D87="",Start!$B$13,D87)))</f>
        <v/>
      </c>
    </row>
    <row r="88" customFormat="false" ht="15" hidden="false" customHeight="false" outlineLevel="0" collapsed="false">
      <c r="A88" s="5"/>
      <c r="B88" s="5"/>
      <c r="C88" s="8"/>
      <c r="D88" s="7"/>
      <c r="E88" s="7"/>
      <c r="F88" s="5"/>
      <c r="G88" s="12" t="str">
        <f aca="false">IF(OR(C88="",C88=0,F88&lt;&gt;""),"",IF(E88&lt;&gt;"",E88,IF(D88="",Start!$B$13,D88)))</f>
        <v/>
      </c>
    </row>
    <row r="89" customFormat="false" ht="15" hidden="false" customHeight="false" outlineLevel="0" collapsed="false">
      <c r="A89" s="5"/>
      <c r="B89" s="5"/>
      <c r="C89" s="8"/>
      <c r="D89" s="7"/>
      <c r="E89" s="7"/>
      <c r="F89" s="5"/>
      <c r="G89" s="12" t="str">
        <f aca="false">IF(OR(C89="",C89=0,F89&lt;&gt;""),"",IF(E89&lt;&gt;"",E89,IF(D89="",Start!$B$13,D89)))</f>
        <v/>
      </c>
    </row>
    <row r="90" customFormat="false" ht="15" hidden="false" customHeight="false" outlineLevel="0" collapsed="false">
      <c r="A90" s="5"/>
      <c r="B90" s="5"/>
      <c r="C90" s="8"/>
      <c r="D90" s="7"/>
      <c r="E90" s="7"/>
      <c r="F90" s="5"/>
      <c r="G90" s="12" t="str">
        <f aca="false">IF(OR(C90="",C90=0,F90&lt;&gt;""),"",IF(E90&lt;&gt;"",E90,IF(D90="",Start!$B$13,D90)))</f>
        <v/>
      </c>
    </row>
    <row r="91" customFormat="false" ht="15" hidden="false" customHeight="false" outlineLevel="0" collapsed="false">
      <c r="A91" s="5"/>
      <c r="B91" s="5"/>
      <c r="C91" s="8"/>
      <c r="D91" s="7"/>
      <c r="E91" s="7"/>
      <c r="F91" s="5"/>
      <c r="G91" s="12" t="str">
        <f aca="false">IF(OR(C91="",C91=0,F91&lt;&gt;""),"",IF(E91&lt;&gt;"",E91,IF(D91="",Start!$B$13,D91)))</f>
        <v/>
      </c>
    </row>
    <row r="92" customFormat="false" ht="15" hidden="false" customHeight="false" outlineLevel="0" collapsed="false">
      <c r="A92" s="5"/>
      <c r="B92" s="5"/>
      <c r="C92" s="8"/>
      <c r="D92" s="7"/>
      <c r="E92" s="7"/>
      <c r="F92" s="5"/>
      <c r="G92" s="12" t="str">
        <f aca="false">IF(OR(C92="",C92=0,F92&lt;&gt;""),"",IF(E92&lt;&gt;"",E92,IF(D92="",Start!$B$13,D92)))</f>
        <v/>
      </c>
    </row>
    <row r="93" customFormat="false" ht="15" hidden="false" customHeight="false" outlineLevel="0" collapsed="false">
      <c r="A93" s="5"/>
      <c r="B93" s="5"/>
      <c r="C93" s="8"/>
      <c r="D93" s="7"/>
      <c r="E93" s="7"/>
      <c r="F93" s="5"/>
      <c r="G93" s="12" t="str">
        <f aca="false">IF(OR(C93="",C93=0,F93&lt;&gt;""),"",IF(E93&lt;&gt;"",E93,IF(D93="",Start!$B$13,D93)))</f>
        <v/>
      </c>
    </row>
    <row r="94" customFormat="false" ht="15" hidden="false" customHeight="false" outlineLevel="0" collapsed="false">
      <c r="A94" s="5"/>
      <c r="B94" s="5"/>
      <c r="C94" s="8"/>
      <c r="D94" s="7"/>
      <c r="E94" s="7"/>
      <c r="F94" s="5"/>
      <c r="G94" s="12" t="str">
        <f aca="false">IF(OR(C94="",C94=0,F94&lt;&gt;""),"",IF(E94&lt;&gt;"",E94,IF(D94="",Start!$B$13,D94)))</f>
        <v/>
      </c>
    </row>
    <row r="95" customFormat="false" ht="15" hidden="false" customHeight="false" outlineLevel="0" collapsed="false">
      <c r="A95" s="5"/>
      <c r="B95" s="5"/>
      <c r="C95" s="8"/>
      <c r="D95" s="7"/>
      <c r="E95" s="7"/>
      <c r="F95" s="5"/>
      <c r="G95" s="12" t="str">
        <f aca="false">IF(OR(C95="",C95=0,F95&lt;&gt;""),"",IF(E95&lt;&gt;"",E95,IF(D95="",Start!$B$13,D95)))</f>
        <v/>
      </c>
    </row>
    <row r="96" customFormat="false" ht="15" hidden="false" customHeight="false" outlineLevel="0" collapsed="false">
      <c r="A96" s="5"/>
      <c r="B96" s="5"/>
      <c r="C96" s="8"/>
      <c r="D96" s="7"/>
      <c r="E96" s="7"/>
      <c r="F96" s="5"/>
      <c r="G96" s="12" t="str">
        <f aca="false">IF(OR(C96="",C96=0,F96&lt;&gt;""),"",IF(E96&lt;&gt;"",E96,IF(D96="",Start!$B$13,D96)))</f>
        <v/>
      </c>
    </row>
    <row r="97" customFormat="false" ht="15" hidden="false" customHeight="false" outlineLevel="0" collapsed="false">
      <c r="A97" s="5"/>
      <c r="B97" s="5"/>
      <c r="C97" s="8"/>
      <c r="D97" s="7"/>
      <c r="E97" s="7"/>
      <c r="F97" s="5"/>
      <c r="G97" s="12" t="str">
        <f aca="false">IF(OR(C97="",C97=0,F97&lt;&gt;""),"",IF(E97&lt;&gt;"",E97,IF(D97="",Start!$B$13,D97)))</f>
        <v/>
      </c>
    </row>
    <row r="98" customFormat="false" ht="15" hidden="false" customHeight="false" outlineLevel="0" collapsed="false">
      <c r="A98" s="5"/>
      <c r="B98" s="5"/>
      <c r="C98" s="8"/>
      <c r="D98" s="7"/>
      <c r="E98" s="7"/>
      <c r="F98" s="5"/>
      <c r="G98" s="12" t="str">
        <f aca="false">IF(OR(C98="",C98=0,F98&lt;&gt;""),"",IF(E98&lt;&gt;"",E98,IF(D98="",Start!$B$13,D98)))</f>
        <v/>
      </c>
    </row>
    <row r="99" customFormat="false" ht="15" hidden="false" customHeight="false" outlineLevel="0" collapsed="false">
      <c r="A99" s="5"/>
      <c r="B99" s="5"/>
      <c r="C99" s="8"/>
      <c r="D99" s="7"/>
      <c r="E99" s="7"/>
      <c r="F99" s="5"/>
      <c r="G99" s="12" t="str">
        <f aca="false">IF(OR(C99="",C99=0,F99&lt;&gt;""),"",IF(E99&lt;&gt;"",E99,IF(D99="",Start!$B$13,D99)))</f>
        <v/>
      </c>
    </row>
    <row r="100" customFormat="false" ht="15" hidden="false" customHeight="false" outlineLevel="0" collapsed="false">
      <c r="A100" s="5"/>
      <c r="B100" s="5"/>
      <c r="C100" s="8"/>
      <c r="D100" s="7"/>
      <c r="E100" s="7"/>
      <c r="F100" s="5"/>
      <c r="G100" s="12" t="str">
        <f aca="false">IF(OR(C100="",C100=0,F100&lt;&gt;""),"",IF(E100&lt;&gt;"",E100,IF(D100="",Start!$B$13,D100)))</f>
        <v/>
      </c>
    </row>
    <row r="101" customFormat="false" ht="15" hidden="false" customHeight="false" outlineLevel="0" collapsed="false">
      <c r="A101" s="5"/>
      <c r="B101" s="5"/>
      <c r="C101" s="8"/>
      <c r="D101" s="7"/>
      <c r="E101" s="7"/>
      <c r="F101" s="5"/>
      <c r="G101" s="12" t="str">
        <f aca="false">IF(OR(C101="",C101=0,F101&lt;&gt;""),"",IF(E101&lt;&gt;"",E101,IF(D101="",Start!$B$13,D101)))</f>
        <v/>
      </c>
    </row>
    <row r="102" customFormat="false" ht="15" hidden="false" customHeight="false" outlineLevel="0" collapsed="false">
      <c r="A102" s="5"/>
      <c r="B102" s="5"/>
      <c r="C102" s="8"/>
      <c r="D102" s="7"/>
      <c r="E102" s="7"/>
      <c r="F102" s="5"/>
      <c r="G102" s="12" t="str">
        <f aca="false">IF(OR(C102="",C102=0,F102&lt;&gt;""),"",IF(E102&lt;&gt;"",E102,IF(D102="",Start!$B$13,D102)))</f>
        <v/>
      </c>
    </row>
    <row r="103" customFormat="false" ht="15" hidden="false" customHeight="false" outlineLevel="0" collapsed="false">
      <c r="A103" s="5"/>
      <c r="B103" s="5"/>
      <c r="C103" s="8"/>
      <c r="D103" s="7"/>
      <c r="E103" s="7"/>
      <c r="F103" s="5"/>
      <c r="G103" s="12" t="str">
        <f aca="false">IF(OR(C103="",C103=0,F103&lt;&gt;""),"",IF(E103&lt;&gt;"",E103,IF(D103="",Start!$B$13,D103)))</f>
        <v/>
      </c>
    </row>
    <row r="104" customFormat="false" ht="15" hidden="false" customHeight="false" outlineLevel="0" collapsed="false">
      <c r="A104" s="5"/>
      <c r="B104" s="5"/>
      <c r="C104" s="8"/>
      <c r="D104" s="7"/>
      <c r="E104" s="7"/>
      <c r="F104" s="5"/>
      <c r="G104" s="12" t="str">
        <f aca="false">IF(OR(C104="",C104=0,F104&lt;&gt;""),"",IF(E104&lt;&gt;"",E104,IF(D104="",Start!$B$13,D104)))</f>
        <v/>
      </c>
    </row>
    <row r="105" customFormat="false" ht="15" hidden="false" customHeight="false" outlineLevel="0" collapsed="false">
      <c r="A105" s="5"/>
      <c r="B105" s="5"/>
      <c r="C105" s="8"/>
      <c r="D105" s="7"/>
      <c r="E105" s="7"/>
      <c r="F105" s="5"/>
      <c r="G105" s="12" t="str">
        <f aca="false">IF(OR(C105="",C105=0,F105&lt;&gt;""),"",IF(E105&lt;&gt;"",E105,IF(D105="",Start!$B$13,D105)))</f>
        <v/>
      </c>
    </row>
    <row r="106" customFormat="false" ht="15" hidden="false" customHeight="false" outlineLevel="0" collapsed="false">
      <c r="A106" s="5"/>
      <c r="B106" s="5"/>
      <c r="C106" s="8"/>
      <c r="D106" s="7"/>
      <c r="E106" s="7"/>
      <c r="F106" s="5"/>
      <c r="G106" s="12" t="str">
        <f aca="false">IF(OR(C106="",C106=0,F106&lt;&gt;""),"",IF(E106&lt;&gt;"",E106,IF(D106="",Start!$B$13,D106)))</f>
        <v/>
      </c>
    </row>
    <row r="107" customFormat="false" ht="15" hidden="false" customHeight="false" outlineLevel="0" collapsed="false">
      <c r="A107" s="5"/>
      <c r="B107" s="5"/>
      <c r="C107" s="8"/>
      <c r="D107" s="7"/>
      <c r="E107" s="7"/>
      <c r="F107" s="5"/>
      <c r="G107" s="12" t="str">
        <f aca="false">IF(OR(C107="",C107=0,F107&lt;&gt;""),"",IF(E107&lt;&gt;"",E107,IF(D107="",Start!$B$13,D107)))</f>
        <v/>
      </c>
    </row>
    <row r="108" customFormat="false" ht="15" hidden="false" customHeight="false" outlineLevel="0" collapsed="false">
      <c r="A108" s="5"/>
      <c r="B108" s="5"/>
      <c r="C108" s="8"/>
      <c r="D108" s="7"/>
      <c r="E108" s="7"/>
      <c r="F108" s="5"/>
      <c r="G108" s="12" t="str">
        <f aca="false">IF(OR(C108="",C108=0,F108&lt;&gt;""),"",IF(E108&lt;&gt;"",E108,IF(D108="",Start!$B$13,D108)))</f>
        <v/>
      </c>
    </row>
    <row r="109" customFormat="false" ht="15" hidden="false" customHeight="false" outlineLevel="0" collapsed="false">
      <c r="A109" s="5"/>
      <c r="B109" s="5"/>
      <c r="C109" s="8"/>
      <c r="D109" s="7"/>
      <c r="E109" s="7"/>
      <c r="F109" s="5"/>
      <c r="G109" s="12" t="str">
        <f aca="false">IF(OR(C109="",C109=0,F109&lt;&gt;""),"",IF(E109&lt;&gt;"",E109,IF(D109="",Start!$B$13,D109)))</f>
        <v/>
      </c>
    </row>
    <row r="110" customFormat="false" ht="15" hidden="false" customHeight="false" outlineLevel="0" collapsed="false">
      <c r="A110" s="5"/>
      <c r="B110" s="5"/>
      <c r="C110" s="8"/>
      <c r="D110" s="7"/>
      <c r="E110" s="7"/>
      <c r="F110" s="5"/>
      <c r="G110" s="12" t="str">
        <f aca="false">IF(OR(C110="",C110=0,F110&lt;&gt;""),"",IF(E110&lt;&gt;"",E110,IF(D110="",Start!$B$13,D110)))</f>
        <v/>
      </c>
    </row>
    <row r="111" customFormat="false" ht="15" hidden="false" customHeight="false" outlineLevel="0" collapsed="false">
      <c r="A111" s="5"/>
      <c r="B111" s="5"/>
      <c r="C111" s="8"/>
      <c r="D111" s="7"/>
      <c r="E111" s="7"/>
      <c r="F111" s="5"/>
      <c r="G111" s="12" t="str">
        <f aca="false">IF(OR(C111="",C111=0,F111&lt;&gt;""),"",IF(E111&lt;&gt;"",E111,IF(D111="",Start!$B$13,D111)))</f>
        <v/>
      </c>
    </row>
    <row r="112" customFormat="false" ht="15" hidden="false" customHeight="false" outlineLevel="0" collapsed="false">
      <c r="A112" s="5"/>
      <c r="B112" s="5"/>
      <c r="C112" s="8"/>
      <c r="D112" s="7"/>
      <c r="E112" s="7"/>
      <c r="F112" s="5"/>
      <c r="G112" s="12" t="str">
        <f aca="false">IF(OR(C112="",C112=0,F112&lt;&gt;""),"",IF(E112&lt;&gt;"",E112,IF(D112="",Start!$B$13,D112)))</f>
        <v/>
      </c>
    </row>
    <row r="113" customFormat="false" ht="15" hidden="false" customHeight="false" outlineLevel="0" collapsed="false">
      <c r="A113" s="5"/>
      <c r="B113" s="5"/>
      <c r="C113" s="8"/>
      <c r="D113" s="7"/>
      <c r="E113" s="7"/>
      <c r="F113" s="5"/>
      <c r="G113" s="12" t="str">
        <f aca="false">IF(OR(C113="",C113=0,F113&lt;&gt;""),"",IF(E113&lt;&gt;"",E113,IF(D113="",Start!$B$13,D113)))</f>
        <v/>
      </c>
    </row>
    <row r="114" customFormat="false" ht="15" hidden="false" customHeight="false" outlineLevel="0" collapsed="false">
      <c r="A114" s="5"/>
      <c r="B114" s="5"/>
      <c r="C114" s="8"/>
      <c r="D114" s="7"/>
      <c r="E114" s="7"/>
      <c r="F114" s="5"/>
      <c r="G114" s="12" t="str">
        <f aca="false">IF(OR(C114="",C114=0,F114&lt;&gt;""),"",IF(E114&lt;&gt;"",E114,IF(D114="",Start!$B$13,D114)))</f>
        <v/>
      </c>
    </row>
    <row r="115" customFormat="false" ht="15" hidden="false" customHeight="false" outlineLevel="0" collapsed="false">
      <c r="A115" s="5"/>
      <c r="B115" s="5"/>
      <c r="C115" s="8"/>
      <c r="D115" s="7"/>
      <c r="E115" s="7"/>
      <c r="F115" s="5"/>
      <c r="G115" s="12" t="str">
        <f aca="false">IF(OR(C115="",C115=0,F115&lt;&gt;""),"",IF(E115&lt;&gt;"",E115,IF(D115="",Start!$B$13,D115)))</f>
        <v/>
      </c>
    </row>
    <row r="116" customFormat="false" ht="15" hidden="false" customHeight="false" outlineLevel="0" collapsed="false">
      <c r="A116" s="5"/>
      <c r="B116" s="5"/>
      <c r="C116" s="8"/>
      <c r="D116" s="7"/>
      <c r="E116" s="7"/>
      <c r="F116" s="5"/>
      <c r="G116" s="12" t="str">
        <f aca="false">IF(OR(C116="",C116=0,F116&lt;&gt;""),"",IF(E116&lt;&gt;"",E116,IF(D116="",Start!$B$13,D116)))</f>
        <v/>
      </c>
    </row>
    <row r="117" customFormat="false" ht="15" hidden="false" customHeight="false" outlineLevel="0" collapsed="false">
      <c r="A117" s="5"/>
      <c r="B117" s="5"/>
      <c r="C117" s="8"/>
      <c r="D117" s="7"/>
      <c r="E117" s="7"/>
      <c r="F117" s="5"/>
      <c r="G117" s="12" t="str">
        <f aca="false">IF(OR(C117="",C117=0,F117&lt;&gt;""),"",IF(E117&lt;&gt;"",E117,IF(D117="",Start!$B$13,D117)))</f>
        <v/>
      </c>
    </row>
    <row r="118" customFormat="false" ht="15" hidden="false" customHeight="false" outlineLevel="0" collapsed="false">
      <c r="A118" s="5"/>
      <c r="B118" s="5"/>
      <c r="C118" s="8"/>
      <c r="D118" s="7"/>
      <c r="E118" s="7"/>
      <c r="F118" s="5"/>
      <c r="G118" s="12" t="str">
        <f aca="false">IF(OR(C118="",C118=0,F118&lt;&gt;""),"",IF(E118&lt;&gt;"",E118,IF(D118="",Start!$B$13,D118)))</f>
        <v/>
      </c>
    </row>
    <row r="119" customFormat="false" ht="15" hidden="false" customHeight="false" outlineLevel="0" collapsed="false">
      <c r="A119" s="5"/>
      <c r="B119" s="5"/>
      <c r="C119" s="8"/>
      <c r="D119" s="7"/>
      <c r="E119" s="7"/>
      <c r="F119" s="5"/>
      <c r="G119" s="12" t="str">
        <f aca="false">IF(OR(C119="",C119=0,F119&lt;&gt;""),"",IF(E119&lt;&gt;"",E119,IF(D119="",Start!$B$13,D119)))</f>
        <v/>
      </c>
    </row>
    <row r="120" customFormat="false" ht="15" hidden="false" customHeight="false" outlineLevel="0" collapsed="false">
      <c r="A120" s="5"/>
      <c r="B120" s="5"/>
      <c r="C120" s="8"/>
      <c r="D120" s="7"/>
      <c r="E120" s="7"/>
      <c r="F120" s="5"/>
      <c r="G120" s="12" t="str">
        <f aca="false">IF(OR(C120="",C120=0,F120&lt;&gt;""),"",IF(E120&lt;&gt;"",E120,IF(D120="",Start!$B$13,D120)))</f>
        <v/>
      </c>
    </row>
    <row r="121" customFormat="false" ht="15" hidden="false" customHeight="false" outlineLevel="0" collapsed="false">
      <c r="A121" s="5"/>
      <c r="B121" s="5"/>
      <c r="C121" s="8"/>
      <c r="D121" s="7"/>
      <c r="E121" s="7"/>
      <c r="F121" s="5"/>
      <c r="G121" s="12" t="str">
        <f aca="false">IF(OR(C121="",C121=0,F121&lt;&gt;""),"",IF(E121&lt;&gt;"",E121,IF(D121="",Start!$B$13,D121)))</f>
        <v/>
      </c>
    </row>
    <row r="122" customFormat="false" ht="15" hidden="false" customHeight="false" outlineLevel="0" collapsed="false">
      <c r="A122" s="5"/>
      <c r="B122" s="5"/>
      <c r="C122" s="8"/>
      <c r="D122" s="7"/>
      <c r="E122" s="7"/>
      <c r="F122" s="5"/>
      <c r="G122" s="12" t="str">
        <f aca="false">IF(OR(C122="",C122=0,F122&lt;&gt;""),"",IF(E122&lt;&gt;"",E122,IF(D122="",Start!$B$13,D122)))</f>
        <v/>
      </c>
    </row>
    <row r="123" customFormat="false" ht="15" hidden="false" customHeight="false" outlineLevel="0" collapsed="false">
      <c r="A123" s="5"/>
      <c r="B123" s="5"/>
      <c r="C123" s="8"/>
      <c r="D123" s="7"/>
      <c r="E123" s="7"/>
      <c r="F123" s="5"/>
      <c r="G123" s="12" t="str">
        <f aca="false">IF(OR(C123="",C123=0,F123&lt;&gt;""),"",IF(E123&lt;&gt;"",E123,IF(D123="",Start!$B$13,D123)))</f>
        <v/>
      </c>
    </row>
    <row r="124" customFormat="false" ht="15" hidden="false" customHeight="false" outlineLevel="0" collapsed="false">
      <c r="A124" s="5"/>
      <c r="B124" s="5"/>
      <c r="C124" s="8"/>
      <c r="D124" s="7"/>
      <c r="E124" s="7"/>
      <c r="F124" s="5"/>
      <c r="G124" s="12" t="str">
        <f aca="false">IF(OR(C124="",C124=0,F124&lt;&gt;""),"",IF(E124&lt;&gt;"",E124,IF(D124="",Start!$B$13,D124)))</f>
        <v/>
      </c>
    </row>
    <row r="125" customFormat="false" ht="15" hidden="false" customHeight="false" outlineLevel="0" collapsed="false">
      <c r="A125" s="5"/>
      <c r="B125" s="5"/>
      <c r="C125" s="8"/>
      <c r="D125" s="7"/>
      <c r="E125" s="7"/>
      <c r="F125" s="5"/>
      <c r="G125" s="12" t="str">
        <f aca="false">IF(OR(C125="",C125=0,F125&lt;&gt;""),"",IF(E125&lt;&gt;"",E125,IF(D125="",Start!$B$13,D125)))</f>
        <v/>
      </c>
    </row>
    <row r="126" customFormat="false" ht="15" hidden="false" customHeight="false" outlineLevel="0" collapsed="false">
      <c r="A126" s="5"/>
      <c r="B126" s="5"/>
      <c r="C126" s="8"/>
      <c r="D126" s="7"/>
      <c r="E126" s="7"/>
      <c r="F126" s="5"/>
      <c r="G126" s="12" t="str">
        <f aca="false">IF(OR(C126="",C126=0,F126&lt;&gt;""),"",IF(E126&lt;&gt;"",E126,IF(D126="",Start!$B$13,D126)))</f>
        <v/>
      </c>
    </row>
    <row r="127" customFormat="false" ht="15" hidden="false" customHeight="false" outlineLevel="0" collapsed="false">
      <c r="A127" s="5"/>
      <c r="B127" s="5"/>
      <c r="C127" s="8"/>
      <c r="D127" s="7"/>
      <c r="E127" s="7"/>
      <c r="F127" s="5"/>
      <c r="G127" s="12" t="str">
        <f aca="false">IF(OR(C127="",C127=0,F127&lt;&gt;""),"",IF(E127&lt;&gt;"",E127,IF(D127="",Start!$B$13,D127)))</f>
        <v/>
      </c>
    </row>
    <row r="128" customFormat="false" ht="15" hidden="false" customHeight="false" outlineLevel="0" collapsed="false">
      <c r="A128" s="5"/>
      <c r="B128" s="5"/>
      <c r="C128" s="8"/>
      <c r="D128" s="7"/>
      <c r="E128" s="7"/>
      <c r="F128" s="5"/>
      <c r="G128" s="12" t="str">
        <f aca="false">IF(OR(C128="",C128=0,F128&lt;&gt;""),"",IF(E128&lt;&gt;"",E128,IF(D128="",Start!$B$13,D128)))</f>
        <v/>
      </c>
    </row>
    <row r="129" customFormat="false" ht="15" hidden="false" customHeight="false" outlineLevel="0" collapsed="false">
      <c r="A129" s="5"/>
      <c r="B129" s="5"/>
      <c r="C129" s="8"/>
      <c r="D129" s="7"/>
      <c r="E129" s="7"/>
      <c r="F129" s="5"/>
      <c r="G129" s="12" t="str">
        <f aca="false">IF(OR(C129="",C129=0,F129&lt;&gt;""),"",IF(E129&lt;&gt;"",E129,IF(D129="",Start!$B$13,D129)))</f>
        <v/>
      </c>
    </row>
    <row r="130" customFormat="false" ht="15" hidden="false" customHeight="false" outlineLevel="0" collapsed="false">
      <c r="A130" s="17" t="s">
        <v>48</v>
      </c>
      <c r="C130" s="18" t="n">
        <f aca="false">SUMIFS(C70:C129,F70:F129,"")</f>
        <v>0</v>
      </c>
    </row>
    <row r="131" customFormat="false" ht="27.75" hidden="false" customHeight="true" outlineLevel="0" collapsed="false">
      <c r="A131" s="19" t="s">
        <v>53</v>
      </c>
      <c r="B131" s="19"/>
      <c r="C131" s="19"/>
      <c r="D131" s="19"/>
      <c r="E131" s="19"/>
      <c r="F131" s="19"/>
      <c r="G131" s="19"/>
    </row>
  </sheetData>
  <sheetProtection sheet="true" formatCells="false" formatColumns="false" formatRows="false"/>
  <mergeCells count="2">
    <mergeCell ref="A66:G66"/>
    <mergeCell ref="A131:G131"/>
  </mergeCells>
  <conditionalFormatting sqref="A5:G64">
    <cfRule type="expression" priority="2" aboveAverage="0" equalAverage="0" bottom="0" percent="0" rank="0" text="" dxfId="0">
      <formula>$F5&lt;&gt;""</formula>
    </cfRule>
  </conditionalFormatting>
  <conditionalFormatting sqref="A70:G129">
    <cfRule type="expression" priority="3" aboveAverage="0" equalAverage="0" bottom="0" percent="0" rank="0" text="" dxfId="0">
      <formula>$F70&lt;&gt;""</formula>
    </cfRule>
  </conditionalFormatting>
  <dataValidations count="2">
    <dataValidation allowBlank="true" error="Bitte einen positiven Betrag eingeben. Gutschriften vom Rechnungsbetrag abziehen." errorStyle="stop" operator="between" showDropDown="false" showErrorMessage="true" showInputMessage="false" sqref="C5:C64 C70:C129" type="decimal">
      <formula1>0</formula1>
      <formula2>100000000</formula2>
    </dataValidation>
    <dataValidation allowBlank="true" error="Bitte ein Datum eingeben, z. B. 15.03.2027." errorStyle="stop" operator="between" showDropDown="false" showErrorMessage="true" showInputMessage="false" sqref="D5:E64 D70:E129" type="date">
      <formula1>36526</formula1>
      <formula2>73051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1"/>
  <cols>
    <col collapsed="false" customWidth="true" hidden="false" outlineLevel="0" max="1" min="1" style="0" width="40"/>
    <col collapsed="false" customWidth="true" hidden="false" outlineLevel="0" max="2" min="2" style="0" width="30"/>
    <col collapsed="false" customWidth="true" hidden="false" outlineLevel="0" max="3" min="3" style="0" width="14"/>
    <col collapsed="false" customWidth="true" hidden="false" outlineLevel="0" max="4" min="4" style="0" width="26"/>
    <col collapsed="false" customWidth="true" hidden="false" outlineLevel="0" max="6" min="5" style="0" width="13"/>
    <col collapsed="false" customWidth="true" hidden="true" outlineLevel="0" max="7" min="7" style="0" width="6"/>
    <col collapsed="false" customWidth="true" hidden="false" outlineLevel="1" max="32" min="8" style="0" width="9"/>
  </cols>
  <sheetData>
    <row r="1" customFormat="false" ht="17.35" hidden="false" customHeight="false" outlineLevel="0" collapsed="false">
      <c r="A1" s="1" t="s">
        <v>54</v>
      </c>
    </row>
    <row r="2" customFormat="false" ht="15" hidden="false" customHeight="false" outlineLevel="0" collapsed="false">
      <c r="A2" s="15" t="s">
        <v>55</v>
      </c>
      <c r="H2" s="20" t="s">
        <v>56</v>
      </c>
    </row>
    <row r="3" customFormat="false" ht="15" hidden="false" customHeight="false" outlineLevel="0" collapsed="false">
      <c r="G3" s="20" t="s">
        <v>57</v>
      </c>
      <c r="H3" s="21" t="n">
        <f aca="false">(Start!$B$13+0)</f>
        <v>46328</v>
      </c>
      <c r="I3" s="21" t="n">
        <f aca="false">(Start!$B$13+7)</f>
        <v>46335</v>
      </c>
      <c r="J3" s="21" t="n">
        <f aca="false">(Start!$B$13+14)</f>
        <v>46342</v>
      </c>
      <c r="K3" s="21" t="n">
        <f aca="false">(Start!$B$13+21)</f>
        <v>46349</v>
      </c>
      <c r="L3" s="21" t="n">
        <f aca="false">(Start!$B$13+28)</f>
        <v>46356</v>
      </c>
      <c r="M3" s="21" t="n">
        <f aca="false">(Start!$B$13+35)</f>
        <v>46363</v>
      </c>
      <c r="N3" s="21" t="n">
        <f aca="false">(Start!$B$13+42)</f>
        <v>46370</v>
      </c>
      <c r="O3" s="21" t="n">
        <f aca="false">(Start!$B$13+49)</f>
        <v>46377</v>
      </c>
      <c r="P3" s="21" t="n">
        <f aca="false">(Start!$B$13+56)</f>
        <v>46384</v>
      </c>
      <c r="Q3" s="21" t="n">
        <f aca="false">(Start!$B$13+63)</f>
        <v>46391</v>
      </c>
      <c r="R3" s="21" t="n">
        <f aca="false">(Start!$B$13+70)</f>
        <v>46398</v>
      </c>
      <c r="S3" s="21" t="n">
        <f aca="false">(Start!$B$13+77)</f>
        <v>46405</v>
      </c>
      <c r="T3" s="21" t="n">
        <f aca="false">(Start!$B$13+84)</f>
        <v>46412</v>
      </c>
      <c r="U3" s="21" t="n">
        <f aca="false">Start!$B$13</f>
        <v>46328</v>
      </c>
      <c r="V3" s="21" t="n">
        <f aca="false">DATE(YEAR(Start!$B$13),MONTH(Start!$B$13)+1,1)</f>
        <v>46357</v>
      </c>
      <c r="W3" s="21" t="n">
        <f aca="false">DATE(YEAR(Start!$B$13),MONTH(Start!$B$13)+2,1)</f>
        <v>46388</v>
      </c>
      <c r="X3" s="21" t="n">
        <f aca="false">DATE(YEAR(Start!$B$13),MONTH(Start!$B$13)+3,1)</f>
        <v>46419</v>
      </c>
      <c r="Y3" s="21" t="n">
        <f aca="false">DATE(YEAR(Start!$B$13),MONTH(Start!$B$13)+4,1)</f>
        <v>46447</v>
      </c>
      <c r="Z3" s="21" t="n">
        <f aca="false">DATE(YEAR(Start!$B$13),MONTH(Start!$B$13)+5,1)</f>
        <v>46478</v>
      </c>
      <c r="AA3" s="21" t="n">
        <f aca="false">DATE(YEAR(Start!$B$13),MONTH(Start!$B$13)+6,1)</f>
        <v>46508</v>
      </c>
      <c r="AB3" s="21" t="n">
        <f aca="false">DATE(YEAR(Start!$B$13),MONTH(Start!$B$13)+7,1)</f>
        <v>46539</v>
      </c>
      <c r="AC3" s="21" t="n">
        <f aca="false">DATE(YEAR(Start!$B$13),MONTH(Start!$B$13)+8,1)</f>
        <v>46569</v>
      </c>
      <c r="AD3" s="21" t="n">
        <f aca="false">DATE(YEAR(Start!$B$13),MONTH(Start!$B$13)+9,1)</f>
        <v>46600</v>
      </c>
      <c r="AE3" s="21" t="n">
        <f aca="false">DATE(YEAR(Start!$B$13),MONTH(Start!$B$13)+10,1)</f>
        <v>46631</v>
      </c>
      <c r="AF3" s="21" t="n">
        <f aca="false">DATE(YEAR(Start!$B$13),MONTH(Start!$B$13)+11,1)</f>
        <v>46661</v>
      </c>
    </row>
    <row r="4" customFormat="false" ht="15" hidden="false" customHeight="false" outlineLevel="0" collapsed="false">
      <c r="G4" s="20" t="s">
        <v>58</v>
      </c>
      <c r="H4" s="21" t="n">
        <f aca="false">(Start!$B$13+6)</f>
        <v>46334</v>
      </c>
      <c r="I4" s="21" t="n">
        <f aca="false">(Start!$B$13+13)</f>
        <v>46341</v>
      </c>
      <c r="J4" s="21" t="n">
        <f aca="false">(Start!$B$13+20)</f>
        <v>46348</v>
      </c>
      <c r="K4" s="21" t="n">
        <f aca="false">(Start!$B$13+27)</f>
        <v>46355</v>
      </c>
      <c r="L4" s="21" t="n">
        <f aca="false">(Start!$B$13+34)</f>
        <v>46362</v>
      </c>
      <c r="M4" s="21" t="n">
        <f aca="false">(Start!$B$13+41)</f>
        <v>46369</v>
      </c>
      <c r="N4" s="21" t="n">
        <f aca="false">(Start!$B$13+48)</f>
        <v>46376</v>
      </c>
      <c r="O4" s="21" t="n">
        <f aca="false">(Start!$B$13+55)</f>
        <v>46383</v>
      </c>
      <c r="P4" s="21" t="n">
        <f aca="false">(Start!$B$13+62)</f>
        <v>46390</v>
      </c>
      <c r="Q4" s="21" t="n">
        <f aca="false">(Start!$B$13+69)</f>
        <v>46397</v>
      </c>
      <c r="R4" s="21" t="n">
        <f aca="false">(Start!$B$13+76)</f>
        <v>46404</v>
      </c>
      <c r="S4" s="21" t="n">
        <f aca="false">(Start!$B$13+83)</f>
        <v>46411</v>
      </c>
      <c r="T4" s="21" t="n">
        <f aca="false">(Start!$B$13+90)</f>
        <v>46418</v>
      </c>
      <c r="U4" s="21" t="n">
        <f aca="false">(DATE(YEAR(Start!$B$13),MONTH(Start!$B$13)+1,1)-1)</f>
        <v>46356</v>
      </c>
      <c r="V4" s="21" t="n">
        <f aca="false">(DATE(YEAR(Start!$B$13),MONTH(Start!$B$13)+2,1)-1)</f>
        <v>46387</v>
      </c>
      <c r="W4" s="21" t="n">
        <f aca="false">(DATE(YEAR(Start!$B$13),MONTH(Start!$B$13)+3,1)-1)</f>
        <v>46418</v>
      </c>
      <c r="X4" s="21" t="n">
        <f aca="false">(DATE(YEAR(Start!$B$13),MONTH(Start!$B$13)+4,1)-1)</f>
        <v>46446</v>
      </c>
      <c r="Y4" s="21" t="n">
        <f aca="false">(DATE(YEAR(Start!$B$13),MONTH(Start!$B$13)+5,1)-1)</f>
        <v>46477</v>
      </c>
      <c r="Z4" s="21" t="n">
        <f aca="false">(DATE(YEAR(Start!$B$13),MONTH(Start!$B$13)+6,1)-1)</f>
        <v>46507</v>
      </c>
      <c r="AA4" s="21" t="n">
        <f aca="false">(DATE(YEAR(Start!$B$13),MONTH(Start!$B$13)+7,1)-1)</f>
        <v>46538</v>
      </c>
      <c r="AB4" s="21" t="n">
        <f aca="false">(DATE(YEAR(Start!$B$13),MONTH(Start!$B$13)+8,1)-1)</f>
        <v>46568</v>
      </c>
      <c r="AC4" s="21" t="n">
        <f aca="false">(DATE(YEAR(Start!$B$13),MONTH(Start!$B$13)+9,1)-1)</f>
        <v>46599</v>
      </c>
      <c r="AD4" s="21" t="n">
        <f aca="false">(DATE(YEAR(Start!$B$13),MONTH(Start!$B$13)+10,1)-1)</f>
        <v>46630</v>
      </c>
      <c r="AE4" s="21" t="n">
        <f aca="false">(DATE(YEAR(Start!$B$13),MONTH(Start!$B$13)+11,1)-1)</f>
        <v>46660</v>
      </c>
      <c r="AF4" s="21" t="n">
        <f aca="false">(DATE(YEAR(Start!$B$13),MONTH(Start!$B$13)+12,1)-1)</f>
        <v>46691</v>
      </c>
    </row>
    <row r="5" customFormat="false" ht="23.85" hidden="false" customHeight="false" outlineLevel="0" collapsed="false">
      <c r="A5" s="16" t="s">
        <v>59</v>
      </c>
      <c r="B5" s="16" t="s">
        <v>60</v>
      </c>
      <c r="C5" s="16" t="s">
        <v>43</v>
      </c>
      <c r="D5" s="16" t="s">
        <v>61</v>
      </c>
      <c r="E5" s="16" t="s">
        <v>62</v>
      </c>
      <c r="F5" s="16" t="s">
        <v>63</v>
      </c>
      <c r="G5" s="16" t="s">
        <v>64</v>
      </c>
      <c r="H5" s="22" t="str">
        <f aca="false">"W"&amp;1</f>
        <v>W1</v>
      </c>
      <c r="I5" s="22" t="str">
        <f aca="false">"W"&amp;2</f>
        <v>W2</v>
      </c>
      <c r="J5" s="22" t="str">
        <f aca="false">"W"&amp;3</f>
        <v>W3</v>
      </c>
      <c r="K5" s="22" t="str">
        <f aca="false">"W"&amp;4</f>
        <v>W4</v>
      </c>
      <c r="L5" s="22" t="str">
        <f aca="false">"W"&amp;5</f>
        <v>W5</v>
      </c>
      <c r="M5" s="22" t="str">
        <f aca="false">"W"&amp;6</f>
        <v>W6</v>
      </c>
      <c r="N5" s="22" t="str">
        <f aca="false">"W"&amp;7</f>
        <v>W7</v>
      </c>
      <c r="O5" s="22" t="str">
        <f aca="false">"W"&amp;8</f>
        <v>W8</v>
      </c>
      <c r="P5" s="22" t="str">
        <f aca="false">"W"&amp;9</f>
        <v>W9</v>
      </c>
      <c r="Q5" s="22" t="str">
        <f aca="false">"W"&amp;10</f>
        <v>W10</v>
      </c>
      <c r="R5" s="22" t="str">
        <f aca="false">"W"&amp;11</f>
        <v>W11</v>
      </c>
      <c r="S5" s="22" t="str">
        <f aca="false">"W"&amp;12</f>
        <v>W12</v>
      </c>
      <c r="T5" s="22" t="str">
        <f aca="false">"W"&amp;13</f>
        <v>W13</v>
      </c>
      <c r="U5" s="23" t="n">
        <f aca="false">DATE(YEAR(Start!$B$13),MONTH(Start!$B$13)+0,1)</f>
        <v>46327</v>
      </c>
      <c r="V5" s="23" t="n">
        <f aca="false">DATE(YEAR(Start!$B$13),MONTH(Start!$B$13)+1,1)</f>
        <v>46357</v>
      </c>
      <c r="W5" s="23" t="n">
        <f aca="false">DATE(YEAR(Start!$B$13),MONTH(Start!$B$13)+2,1)</f>
        <v>46388</v>
      </c>
      <c r="X5" s="23" t="n">
        <f aca="false">DATE(YEAR(Start!$B$13),MONTH(Start!$B$13)+3,1)</f>
        <v>46419</v>
      </c>
      <c r="Y5" s="23" t="n">
        <f aca="false">DATE(YEAR(Start!$B$13),MONTH(Start!$B$13)+4,1)</f>
        <v>46447</v>
      </c>
      <c r="Z5" s="23" t="n">
        <f aca="false">DATE(YEAR(Start!$B$13),MONTH(Start!$B$13)+5,1)</f>
        <v>46478</v>
      </c>
      <c r="AA5" s="23" t="n">
        <f aca="false">DATE(YEAR(Start!$B$13),MONTH(Start!$B$13)+6,1)</f>
        <v>46508</v>
      </c>
      <c r="AB5" s="23" t="n">
        <f aca="false">DATE(YEAR(Start!$B$13),MONTH(Start!$B$13)+7,1)</f>
        <v>46539</v>
      </c>
      <c r="AC5" s="23" t="n">
        <f aca="false">DATE(YEAR(Start!$B$13),MONTH(Start!$B$13)+8,1)</f>
        <v>46569</v>
      </c>
      <c r="AD5" s="23" t="n">
        <f aca="false">DATE(YEAR(Start!$B$13),MONTH(Start!$B$13)+9,1)</f>
        <v>46600</v>
      </c>
      <c r="AE5" s="23" t="n">
        <f aca="false">DATE(YEAR(Start!$B$13),MONTH(Start!$B$13)+10,1)</f>
        <v>46631</v>
      </c>
      <c r="AF5" s="23" t="n">
        <f aca="false">DATE(YEAR(Start!$B$13),MONTH(Start!$B$13)+11,1)</f>
        <v>46661</v>
      </c>
    </row>
    <row r="7" customFormat="false" ht="15" hidden="false" customHeight="false" outlineLevel="0" collapsed="false">
      <c r="A7" s="5"/>
      <c r="B7" s="5"/>
      <c r="C7" s="8"/>
      <c r="D7" s="5"/>
      <c r="E7" s="7"/>
      <c r="F7" s="7"/>
      <c r="G7" s="24" t="n">
        <f aca="false">IFERROR(INDEX(Listen!$E$2:$E$8,MATCH(D7,Listen!$D$2:$D$8,0)),-2)</f>
        <v>-2</v>
      </c>
      <c r="H7" s="25" t="n">
        <f aca="false">IF(OR($C7="",$C7=0,$E7="",$B7="",$G7=-2),0,$C7*IF($G7=0,IF(IF($F7="",H$4,MIN(H$4,$F7))&lt;$E7,0,MAX(0,INT((IF($F7="",H$4,MIN(H$4,$F7))-$E7)/7)+1-MAX(0,ROUNDUP((H$3-$E7)/7,0)))),IF($G7=101,(AND(EOMONTH(H$3,0)&gt;=MAX(H$3,$E7),EOMONTH(H$3,0)&lt;=IF($F7="",H$4,MIN(H$4,$F7)))*1+AND(EOMONTH(H$4,0)&lt;&gt;EOMONTH(H$3,0),EOMONTH(H$4,0)&gt;=MAX(H$3,$E7),EOMONTH(H$4,0)&lt;=IF($F7="",H$4,MIN(H$4,$F7)))*1),IF($G7=102,(AND(WORKDAY(EOMONTH(H$3,0)+1,-3)&gt;=MAX(H$3,$E7),WORKDAY(EOMONTH(H$3,0)+1,-3)&lt;=IF($F7="",H$4,MIN(H$4,$F7)))*1+AND(WORKDAY(EOMONTH(H$4,0)+1,-3)&lt;&gt;WORKDAY(EOMONTH(H$3,0)+1,-3),WORKDAY(EOMONTH(H$4,0)+1,-3)&gt;=MAX(H$3,$E7),WORKDAY(EOMONTH(H$4,0)+1,-3)&lt;=IF($F7="",H$4,MIN(H$4,$F7)))*1),IF(AND(IF(EDATE($E7,MAX(0,ROUNDUP(((YEAR(H$3)-YEAR($E7))*12+MONTH(H$3)-MONTH($E7))/$G7,0)*$G7))&lt;H$3,EDATE($E7,MAX(0,ROUNDUP(((YEAR(H$3)-YEAR($E7))*12+MONTH(H$3)-MONTH($E7))/$G7,0)*$G7)+$G7),EDATE($E7,MAX(0,ROUNDUP(((YEAR(H$3)-YEAR($E7))*12+MONTH(H$3)-MONTH($E7))/$G7,0)*$G7)))&gt;=H$3,IF(EDATE($E7,MAX(0,ROUNDUP(((YEAR(H$3)-YEAR($E7))*12+MONTH(H$3)-MONTH($E7))/$G7,0)*$G7))&lt;H$3,EDATE($E7,MAX(0,ROUNDUP(((YEAR(H$3)-YEAR($E7))*12+MONTH(H$3)-MONTH($E7))/$G7,0)*$G7)+$G7),EDATE($E7,MAX(0,ROUNDUP(((YEAR(H$3)-YEAR($E7))*12+MONTH(H$3)-MONTH($E7))/$G7,0)*$G7)))&lt;=IF($F7="",H$4,MIN(H$4,$F7))),1,0)))))</f>
        <v>0</v>
      </c>
      <c r="I7" s="25" t="n">
        <f aca="false">IF(OR($C7="",$C7=0,$E7="",$B7="",$G7=-2),0,$C7*IF($G7=0,IF(IF($F7="",I$4,MIN(I$4,$F7))&lt;$E7,0,MAX(0,INT((IF($F7="",I$4,MIN(I$4,$F7))-$E7)/7)+1-MAX(0,ROUNDUP((I$3-$E7)/7,0)))),IF($G7=101,(AND(EOMONTH(I$3,0)&gt;=MAX(I$3,$E7),EOMONTH(I$3,0)&lt;=IF($F7="",I$4,MIN(I$4,$F7)))*1+AND(EOMONTH(I$4,0)&lt;&gt;EOMONTH(I$3,0),EOMONTH(I$4,0)&gt;=MAX(I$3,$E7),EOMONTH(I$4,0)&lt;=IF($F7="",I$4,MIN(I$4,$F7)))*1),IF($G7=102,(AND(WORKDAY(EOMONTH(I$3,0)+1,-3)&gt;=MAX(I$3,$E7),WORKDAY(EOMONTH(I$3,0)+1,-3)&lt;=IF($F7="",I$4,MIN(I$4,$F7)))*1+AND(WORKDAY(EOMONTH(I$4,0)+1,-3)&lt;&gt;WORKDAY(EOMONTH(I$3,0)+1,-3),WORKDAY(EOMONTH(I$4,0)+1,-3)&gt;=MAX(I$3,$E7),WORKDAY(EOMONTH(I$4,0)+1,-3)&lt;=IF($F7="",I$4,MIN(I$4,$F7)))*1),IF(AND(IF(EDATE($E7,MAX(0,ROUNDUP(((YEAR(I$3)-YEAR($E7))*12+MONTH(I$3)-MONTH($E7))/$G7,0)*$G7))&lt;I$3,EDATE($E7,MAX(0,ROUNDUP(((YEAR(I$3)-YEAR($E7))*12+MONTH(I$3)-MONTH($E7))/$G7,0)*$G7)+$G7),EDATE($E7,MAX(0,ROUNDUP(((YEAR(I$3)-YEAR($E7))*12+MONTH(I$3)-MONTH($E7))/$G7,0)*$G7)))&gt;=I$3,IF(EDATE($E7,MAX(0,ROUNDUP(((YEAR(I$3)-YEAR($E7))*12+MONTH(I$3)-MONTH($E7))/$G7,0)*$G7))&lt;I$3,EDATE($E7,MAX(0,ROUNDUP(((YEAR(I$3)-YEAR($E7))*12+MONTH(I$3)-MONTH($E7))/$G7,0)*$G7)+$G7),EDATE($E7,MAX(0,ROUNDUP(((YEAR(I$3)-YEAR($E7))*12+MONTH(I$3)-MONTH($E7))/$G7,0)*$G7)))&lt;=IF($F7="",I$4,MIN(I$4,$F7))),1,0)))))</f>
        <v>0</v>
      </c>
      <c r="J7" s="25" t="n">
        <f aca="false">IF(OR($C7="",$C7=0,$E7="",$B7="",$G7=-2),0,$C7*IF($G7=0,IF(IF($F7="",J$4,MIN(J$4,$F7))&lt;$E7,0,MAX(0,INT((IF($F7="",J$4,MIN(J$4,$F7))-$E7)/7)+1-MAX(0,ROUNDUP((J$3-$E7)/7,0)))),IF($G7=101,(AND(EOMONTH(J$3,0)&gt;=MAX(J$3,$E7),EOMONTH(J$3,0)&lt;=IF($F7="",J$4,MIN(J$4,$F7)))*1+AND(EOMONTH(J$4,0)&lt;&gt;EOMONTH(J$3,0),EOMONTH(J$4,0)&gt;=MAX(J$3,$E7),EOMONTH(J$4,0)&lt;=IF($F7="",J$4,MIN(J$4,$F7)))*1),IF($G7=102,(AND(WORKDAY(EOMONTH(J$3,0)+1,-3)&gt;=MAX(J$3,$E7),WORKDAY(EOMONTH(J$3,0)+1,-3)&lt;=IF($F7="",J$4,MIN(J$4,$F7)))*1+AND(WORKDAY(EOMONTH(J$4,0)+1,-3)&lt;&gt;WORKDAY(EOMONTH(J$3,0)+1,-3),WORKDAY(EOMONTH(J$4,0)+1,-3)&gt;=MAX(J$3,$E7),WORKDAY(EOMONTH(J$4,0)+1,-3)&lt;=IF($F7="",J$4,MIN(J$4,$F7)))*1),IF(AND(IF(EDATE($E7,MAX(0,ROUNDUP(((YEAR(J$3)-YEAR($E7))*12+MONTH(J$3)-MONTH($E7))/$G7,0)*$G7))&lt;J$3,EDATE($E7,MAX(0,ROUNDUP(((YEAR(J$3)-YEAR($E7))*12+MONTH(J$3)-MONTH($E7))/$G7,0)*$G7)+$G7),EDATE($E7,MAX(0,ROUNDUP(((YEAR(J$3)-YEAR($E7))*12+MONTH(J$3)-MONTH($E7))/$G7,0)*$G7)))&gt;=J$3,IF(EDATE($E7,MAX(0,ROUNDUP(((YEAR(J$3)-YEAR($E7))*12+MONTH(J$3)-MONTH($E7))/$G7,0)*$G7))&lt;J$3,EDATE($E7,MAX(0,ROUNDUP(((YEAR(J$3)-YEAR($E7))*12+MONTH(J$3)-MONTH($E7))/$G7,0)*$G7)+$G7),EDATE($E7,MAX(0,ROUNDUP(((YEAR(J$3)-YEAR($E7))*12+MONTH(J$3)-MONTH($E7))/$G7,0)*$G7)))&lt;=IF($F7="",J$4,MIN(J$4,$F7))),1,0)))))</f>
        <v>0</v>
      </c>
      <c r="K7" s="25" t="n">
        <f aca="false">IF(OR($C7="",$C7=0,$E7="",$B7="",$G7=-2),0,$C7*IF($G7=0,IF(IF($F7="",K$4,MIN(K$4,$F7))&lt;$E7,0,MAX(0,INT((IF($F7="",K$4,MIN(K$4,$F7))-$E7)/7)+1-MAX(0,ROUNDUP((K$3-$E7)/7,0)))),IF($G7=101,(AND(EOMONTH(K$3,0)&gt;=MAX(K$3,$E7),EOMONTH(K$3,0)&lt;=IF($F7="",K$4,MIN(K$4,$F7)))*1+AND(EOMONTH(K$4,0)&lt;&gt;EOMONTH(K$3,0),EOMONTH(K$4,0)&gt;=MAX(K$3,$E7),EOMONTH(K$4,0)&lt;=IF($F7="",K$4,MIN(K$4,$F7)))*1),IF($G7=102,(AND(WORKDAY(EOMONTH(K$3,0)+1,-3)&gt;=MAX(K$3,$E7),WORKDAY(EOMONTH(K$3,0)+1,-3)&lt;=IF($F7="",K$4,MIN(K$4,$F7)))*1+AND(WORKDAY(EOMONTH(K$4,0)+1,-3)&lt;&gt;WORKDAY(EOMONTH(K$3,0)+1,-3),WORKDAY(EOMONTH(K$4,0)+1,-3)&gt;=MAX(K$3,$E7),WORKDAY(EOMONTH(K$4,0)+1,-3)&lt;=IF($F7="",K$4,MIN(K$4,$F7)))*1),IF(AND(IF(EDATE($E7,MAX(0,ROUNDUP(((YEAR(K$3)-YEAR($E7))*12+MONTH(K$3)-MONTH($E7))/$G7,0)*$G7))&lt;K$3,EDATE($E7,MAX(0,ROUNDUP(((YEAR(K$3)-YEAR($E7))*12+MONTH(K$3)-MONTH($E7))/$G7,0)*$G7)+$G7),EDATE($E7,MAX(0,ROUNDUP(((YEAR(K$3)-YEAR($E7))*12+MONTH(K$3)-MONTH($E7))/$G7,0)*$G7)))&gt;=K$3,IF(EDATE($E7,MAX(0,ROUNDUP(((YEAR(K$3)-YEAR($E7))*12+MONTH(K$3)-MONTH($E7))/$G7,0)*$G7))&lt;K$3,EDATE($E7,MAX(0,ROUNDUP(((YEAR(K$3)-YEAR($E7))*12+MONTH(K$3)-MONTH($E7))/$G7,0)*$G7)+$G7),EDATE($E7,MAX(0,ROUNDUP(((YEAR(K$3)-YEAR($E7))*12+MONTH(K$3)-MONTH($E7))/$G7,0)*$G7)))&lt;=IF($F7="",K$4,MIN(K$4,$F7))),1,0)))))</f>
        <v>0</v>
      </c>
      <c r="L7" s="25" t="n">
        <f aca="false">IF(OR($C7="",$C7=0,$E7="",$B7="",$G7=-2),0,$C7*IF($G7=0,IF(IF($F7="",L$4,MIN(L$4,$F7))&lt;$E7,0,MAX(0,INT((IF($F7="",L$4,MIN(L$4,$F7))-$E7)/7)+1-MAX(0,ROUNDUP((L$3-$E7)/7,0)))),IF($G7=101,(AND(EOMONTH(L$3,0)&gt;=MAX(L$3,$E7),EOMONTH(L$3,0)&lt;=IF($F7="",L$4,MIN(L$4,$F7)))*1+AND(EOMONTH(L$4,0)&lt;&gt;EOMONTH(L$3,0),EOMONTH(L$4,0)&gt;=MAX(L$3,$E7),EOMONTH(L$4,0)&lt;=IF($F7="",L$4,MIN(L$4,$F7)))*1),IF($G7=102,(AND(WORKDAY(EOMONTH(L$3,0)+1,-3)&gt;=MAX(L$3,$E7),WORKDAY(EOMONTH(L$3,0)+1,-3)&lt;=IF($F7="",L$4,MIN(L$4,$F7)))*1+AND(WORKDAY(EOMONTH(L$4,0)+1,-3)&lt;&gt;WORKDAY(EOMONTH(L$3,0)+1,-3),WORKDAY(EOMONTH(L$4,0)+1,-3)&gt;=MAX(L$3,$E7),WORKDAY(EOMONTH(L$4,0)+1,-3)&lt;=IF($F7="",L$4,MIN(L$4,$F7)))*1),IF(AND(IF(EDATE($E7,MAX(0,ROUNDUP(((YEAR(L$3)-YEAR($E7))*12+MONTH(L$3)-MONTH($E7))/$G7,0)*$G7))&lt;L$3,EDATE($E7,MAX(0,ROUNDUP(((YEAR(L$3)-YEAR($E7))*12+MONTH(L$3)-MONTH($E7))/$G7,0)*$G7)+$G7),EDATE($E7,MAX(0,ROUNDUP(((YEAR(L$3)-YEAR($E7))*12+MONTH(L$3)-MONTH($E7))/$G7,0)*$G7)))&gt;=L$3,IF(EDATE($E7,MAX(0,ROUNDUP(((YEAR(L$3)-YEAR($E7))*12+MONTH(L$3)-MONTH($E7))/$G7,0)*$G7))&lt;L$3,EDATE($E7,MAX(0,ROUNDUP(((YEAR(L$3)-YEAR($E7))*12+MONTH(L$3)-MONTH($E7))/$G7,0)*$G7)+$G7),EDATE($E7,MAX(0,ROUNDUP(((YEAR(L$3)-YEAR($E7))*12+MONTH(L$3)-MONTH($E7))/$G7,0)*$G7)))&lt;=IF($F7="",L$4,MIN(L$4,$F7))),1,0)))))</f>
        <v>0</v>
      </c>
      <c r="M7" s="25" t="n">
        <f aca="false">IF(OR($C7="",$C7=0,$E7="",$B7="",$G7=-2),0,$C7*IF($G7=0,IF(IF($F7="",M$4,MIN(M$4,$F7))&lt;$E7,0,MAX(0,INT((IF($F7="",M$4,MIN(M$4,$F7))-$E7)/7)+1-MAX(0,ROUNDUP((M$3-$E7)/7,0)))),IF($G7=101,(AND(EOMONTH(M$3,0)&gt;=MAX(M$3,$E7),EOMONTH(M$3,0)&lt;=IF($F7="",M$4,MIN(M$4,$F7)))*1+AND(EOMONTH(M$4,0)&lt;&gt;EOMONTH(M$3,0),EOMONTH(M$4,0)&gt;=MAX(M$3,$E7),EOMONTH(M$4,0)&lt;=IF($F7="",M$4,MIN(M$4,$F7)))*1),IF($G7=102,(AND(WORKDAY(EOMONTH(M$3,0)+1,-3)&gt;=MAX(M$3,$E7),WORKDAY(EOMONTH(M$3,0)+1,-3)&lt;=IF($F7="",M$4,MIN(M$4,$F7)))*1+AND(WORKDAY(EOMONTH(M$4,0)+1,-3)&lt;&gt;WORKDAY(EOMONTH(M$3,0)+1,-3),WORKDAY(EOMONTH(M$4,0)+1,-3)&gt;=MAX(M$3,$E7),WORKDAY(EOMONTH(M$4,0)+1,-3)&lt;=IF($F7="",M$4,MIN(M$4,$F7)))*1),IF(AND(IF(EDATE($E7,MAX(0,ROUNDUP(((YEAR(M$3)-YEAR($E7))*12+MONTH(M$3)-MONTH($E7))/$G7,0)*$G7))&lt;M$3,EDATE($E7,MAX(0,ROUNDUP(((YEAR(M$3)-YEAR($E7))*12+MONTH(M$3)-MONTH($E7))/$G7,0)*$G7)+$G7),EDATE($E7,MAX(0,ROUNDUP(((YEAR(M$3)-YEAR($E7))*12+MONTH(M$3)-MONTH($E7))/$G7,0)*$G7)))&gt;=M$3,IF(EDATE($E7,MAX(0,ROUNDUP(((YEAR(M$3)-YEAR($E7))*12+MONTH(M$3)-MONTH($E7))/$G7,0)*$G7))&lt;M$3,EDATE($E7,MAX(0,ROUNDUP(((YEAR(M$3)-YEAR($E7))*12+MONTH(M$3)-MONTH($E7))/$G7,0)*$G7)+$G7),EDATE($E7,MAX(0,ROUNDUP(((YEAR(M$3)-YEAR($E7))*12+MONTH(M$3)-MONTH($E7))/$G7,0)*$G7)))&lt;=IF($F7="",M$4,MIN(M$4,$F7))),1,0)))))</f>
        <v>0</v>
      </c>
      <c r="N7" s="25" t="n">
        <f aca="false">IF(OR($C7="",$C7=0,$E7="",$B7="",$G7=-2),0,$C7*IF($G7=0,IF(IF($F7="",N$4,MIN(N$4,$F7))&lt;$E7,0,MAX(0,INT((IF($F7="",N$4,MIN(N$4,$F7))-$E7)/7)+1-MAX(0,ROUNDUP((N$3-$E7)/7,0)))),IF($G7=101,(AND(EOMONTH(N$3,0)&gt;=MAX(N$3,$E7),EOMONTH(N$3,0)&lt;=IF($F7="",N$4,MIN(N$4,$F7)))*1+AND(EOMONTH(N$4,0)&lt;&gt;EOMONTH(N$3,0),EOMONTH(N$4,0)&gt;=MAX(N$3,$E7),EOMONTH(N$4,0)&lt;=IF($F7="",N$4,MIN(N$4,$F7)))*1),IF($G7=102,(AND(WORKDAY(EOMONTH(N$3,0)+1,-3)&gt;=MAX(N$3,$E7),WORKDAY(EOMONTH(N$3,0)+1,-3)&lt;=IF($F7="",N$4,MIN(N$4,$F7)))*1+AND(WORKDAY(EOMONTH(N$4,0)+1,-3)&lt;&gt;WORKDAY(EOMONTH(N$3,0)+1,-3),WORKDAY(EOMONTH(N$4,0)+1,-3)&gt;=MAX(N$3,$E7),WORKDAY(EOMONTH(N$4,0)+1,-3)&lt;=IF($F7="",N$4,MIN(N$4,$F7)))*1),IF(AND(IF(EDATE($E7,MAX(0,ROUNDUP(((YEAR(N$3)-YEAR($E7))*12+MONTH(N$3)-MONTH($E7))/$G7,0)*$G7))&lt;N$3,EDATE($E7,MAX(0,ROUNDUP(((YEAR(N$3)-YEAR($E7))*12+MONTH(N$3)-MONTH($E7))/$G7,0)*$G7)+$G7),EDATE($E7,MAX(0,ROUNDUP(((YEAR(N$3)-YEAR($E7))*12+MONTH(N$3)-MONTH($E7))/$G7,0)*$G7)))&gt;=N$3,IF(EDATE($E7,MAX(0,ROUNDUP(((YEAR(N$3)-YEAR($E7))*12+MONTH(N$3)-MONTH($E7))/$G7,0)*$G7))&lt;N$3,EDATE($E7,MAX(0,ROUNDUP(((YEAR(N$3)-YEAR($E7))*12+MONTH(N$3)-MONTH($E7))/$G7,0)*$G7)+$G7),EDATE($E7,MAX(0,ROUNDUP(((YEAR(N$3)-YEAR($E7))*12+MONTH(N$3)-MONTH($E7))/$G7,0)*$G7)))&lt;=IF($F7="",N$4,MIN(N$4,$F7))),1,0)))))</f>
        <v>0</v>
      </c>
      <c r="O7" s="25" t="n">
        <f aca="false">IF(OR($C7="",$C7=0,$E7="",$B7="",$G7=-2),0,$C7*IF($G7=0,IF(IF($F7="",O$4,MIN(O$4,$F7))&lt;$E7,0,MAX(0,INT((IF($F7="",O$4,MIN(O$4,$F7))-$E7)/7)+1-MAX(0,ROUNDUP((O$3-$E7)/7,0)))),IF($G7=101,(AND(EOMONTH(O$3,0)&gt;=MAX(O$3,$E7),EOMONTH(O$3,0)&lt;=IF($F7="",O$4,MIN(O$4,$F7)))*1+AND(EOMONTH(O$4,0)&lt;&gt;EOMONTH(O$3,0),EOMONTH(O$4,0)&gt;=MAX(O$3,$E7),EOMONTH(O$4,0)&lt;=IF($F7="",O$4,MIN(O$4,$F7)))*1),IF($G7=102,(AND(WORKDAY(EOMONTH(O$3,0)+1,-3)&gt;=MAX(O$3,$E7),WORKDAY(EOMONTH(O$3,0)+1,-3)&lt;=IF($F7="",O$4,MIN(O$4,$F7)))*1+AND(WORKDAY(EOMONTH(O$4,0)+1,-3)&lt;&gt;WORKDAY(EOMONTH(O$3,0)+1,-3),WORKDAY(EOMONTH(O$4,0)+1,-3)&gt;=MAX(O$3,$E7),WORKDAY(EOMONTH(O$4,0)+1,-3)&lt;=IF($F7="",O$4,MIN(O$4,$F7)))*1),IF(AND(IF(EDATE($E7,MAX(0,ROUNDUP(((YEAR(O$3)-YEAR($E7))*12+MONTH(O$3)-MONTH($E7))/$G7,0)*$G7))&lt;O$3,EDATE($E7,MAX(0,ROUNDUP(((YEAR(O$3)-YEAR($E7))*12+MONTH(O$3)-MONTH($E7))/$G7,0)*$G7)+$G7),EDATE($E7,MAX(0,ROUNDUP(((YEAR(O$3)-YEAR($E7))*12+MONTH(O$3)-MONTH($E7))/$G7,0)*$G7)))&gt;=O$3,IF(EDATE($E7,MAX(0,ROUNDUP(((YEAR(O$3)-YEAR($E7))*12+MONTH(O$3)-MONTH($E7))/$G7,0)*$G7))&lt;O$3,EDATE($E7,MAX(0,ROUNDUP(((YEAR(O$3)-YEAR($E7))*12+MONTH(O$3)-MONTH($E7))/$G7,0)*$G7)+$G7),EDATE($E7,MAX(0,ROUNDUP(((YEAR(O$3)-YEAR($E7))*12+MONTH(O$3)-MONTH($E7))/$G7,0)*$G7)))&lt;=IF($F7="",O$4,MIN(O$4,$F7))),1,0)))))</f>
        <v>0</v>
      </c>
      <c r="P7" s="25" t="n">
        <f aca="false">IF(OR($C7="",$C7=0,$E7="",$B7="",$G7=-2),0,$C7*IF($G7=0,IF(IF($F7="",P$4,MIN(P$4,$F7))&lt;$E7,0,MAX(0,INT((IF($F7="",P$4,MIN(P$4,$F7))-$E7)/7)+1-MAX(0,ROUNDUP((P$3-$E7)/7,0)))),IF($G7=101,(AND(EOMONTH(P$3,0)&gt;=MAX(P$3,$E7),EOMONTH(P$3,0)&lt;=IF($F7="",P$4,MIN(P$4,$F7)))*1+AND(EOMONTH(P$4,0)&lt;&gt;EOMONTH(P$3,0),EOMONTH(P$4,0)&gt;=MAX(P$3,$E7),EOMONTH(P$4,0)&lt;=IF($F7="",P$4,MIN(P$4,$F7)))*1),IF($G7=102,(AND(WORKDAY(EOMONTH(P$3,0)+1,-3)&gt;=MAX(P$3,$E7),WORKDAY(EOMONTH(P$3,0)+1,-3)&lt;=IF($F7="",P$4,MIN(P$4,$F7)))*1+AND(WORKDAY(EOMONTH(P$4,0)+1,-3)&lt;&gt;WORKDAY(EOMONTH(P$3,0)+1,-3),WORKDAY(EOMONTH(P$4,0)+1,-3)&gt;=MAX(P$3,$E7),WORKDAY(EOMONTH(P$4,0)+1,-3)&lt;=IF($F7="",P$4,MIN(P$4,$F7)))*1),IF(AND(IF(EDATE($E7,MAX(0,ROUNDUP(((YEAR(P$3)-YEAR($E7))*12+MONTH(P$3)-MONTH($E7))/$G7,0)*$G7))&lt;P$3,EDATE($E7,MAX(0,ROUNDUP(((YEAR(P$3)-YEAR($E7))*12+MONTH(P$3)-MONTH($E7))/$G7,0)*$G7)+$G7),EDATE($E7,MAX(0,ROUNDUP(((YEAR(P$3)-YEAR($E7))*12+MONTH(P$3)-MONTH($E7))/$G7,0)*$G7)))&gt;=P$3,IF(EDATE($E7,MAX(0,ROUNDUP(((YEAR(P$3)-YEAR($E7))*12+MONTH(P$3)-MONTH($E7))/$G7,0)*$G7))&lt;P$3,EDATE($E7,MAX(0,ROUNDUP(((YEAR(P$3)-YEAR($E7))*12+MONTH(P$3)-MONTH($E7))/$G7,0)*$G7)+$G7),EDATE($E7,MAX(0,ROUNDUP(((YEAR(P$3)-YEAR($E7))*12+MONTH(P$3)-MONTH($E7))/$G7,0)*$G7)))&lt;=IF($F7="",P$4,MIN(P$4,$F7))),1,0)))))</f>
        <v>0</v>
      </c>
      <c r="Q7" s="25" t="n">
        <f aca="false">IF(OR($C7="",$C7=0,$E7="",$B7="",$G7=-2),0,$C7*IF($G7=0,IF(IF($F7="",Q$4,MIN(Q$4,$F7))&lt;$E7,0,MAX(0,INT((IF($F7="",Q$4,MIN(Q$4,$F7))-$E7)/7)+1-MAX(0,ROUNDUP((Q$3-$E7)/7,0)))),IF($G7=101,(AND(EOMONTH(Q$3,0)&gt;=MAX(Q$3,$E7),EOMONTH(Q$3,0)&lt;=IF($F7="",Q$4,MIN(Q$4,$F7)))*1+AND(EOMONTH(Q$4,0)&lt;&gt;EOMONTH(Q$3,0),EOMONTH(Q$4,0)&gt;=MAX(Q$3,$E7),EOMONTH(Q$4,0)&lt;=IF($F7="",Q$4,MIN(Q$4,$F7)))*1),IF($G7=102,(AND(WORKDAY(EOMONTH(Q$3,0)+1,-3)&gt;=MAX(Q$3,$E7),WORKDAY(EOMONTH(Q$3,0)+1,-3)&lt;=IF($F7="",Q$4,MIN(Q$4,$F7)))*1+AND(WORKDAY(EOMONTH(Q$4,0)+1,-3)&lt;&gt;WORKDAY(EOMONTH(Q$3,0)+1,-3),WORKDAY(EOMONTH(Q$4,0)+1,-3)&gt;=MAX(Q$3,$E7),WORKDAY(EOMONTH(Q$4,0)+1,-3)&lt;=IF($F7="",Q$4,MIN(Q$4,$F7)))*1),IF(AND(IF(EDATE($E7,MAX(0,ROUNDUP(((YEAR(Q$3)-YEAR($E7))*12+MONTH(Q$3)-MONTH($E7))/$G7,0)*$G7))&lt;Q$3,EDATE($E7,MAX(0,ROUNDUP(((YEAR(Q$3)-YEAR($E7))*12+MONTH(Q$3)-MONTH($E7))/$G7,0)*$G7)+$G7),EDATE($E7,MAX(0,ROUNDUP(((YEAR(Q$3)-YEAR($E7))*12+MONTH(Q$3)-MONTH($E7))/$G7,0)*$G7)))&gt;=Q$3,IF(EDATE($E7,MAX(0,ROUNDUP(((YEAR(Q$3)-YEAR($E7))*12+MONTH(Q$3)-MONTH($E7))/$G7,0)*$G7))&lt;Q$3,EDATE($E7,MAX(0,ROUNDUP(((YEAR(Q$3)-YEAR($E7))*12+MONTH(Q$3)-MONTH($E7))/$G7,0)*$G7)+$G7),EDATE($E7,MAX(0,ROUNDUP(((YEAR(Q$3)-YEAR($E7))*12+MONTH(Q$3)-MONTH($E7))/$G7,0)*$G7)))&lt;=IF($F7="",Q$4,MIN(Q$4,$F7))),1,0)))))</f>
        <v>0</v>
      </c>
      <c r="R7" s="25" t="n">
        <f aca="false">IF(OR($C7="",$C7=0,$E7="",$B7="",$G7=-2),0,$C7*IF($G7=0,IF(IF($F7="",R$4,MIN(R$4,$F7))&lt;$E7,0,MAX(0,INT((IF($F7="",R$4,MIN(R$4,$F7))-$E7)/7)+1-MAX(0,ROUNDUP((R$3-$E7)/7,0)))),IF($G7=101,(AND(EOMONTH(R$3,0)&gt;=MAX(R$3,$E7),EOMONTH(R$3,0)&lt;=IF($F7="",R$4,MIN(R$4,$F7)))*1+AND(EOMONTH(R$4,0)&lt;&gt;EOMONTH(R$3,0),EOMONTH(R$4,0)&gt;=MAX(R$3,$E7),EOMONTH(R$4,0)&lt;=IF($F7="",R$4,MIN(R$4,$F7)))*1),IF($G7=102,(AND(WORKDAY(EOMONTH(R$3,0)+1,-3)&gt;=MAX(R$3,$E7),WORKDAY(EOMONTH(R$3,0)+1,-3)&lt;=IF($F7="",R$4,MIN(R$4,$F7)))*1+AND(WORKDAY(EOMONTH(R$4,0)+1,-3)&lt;&gt;WORKDAY(EOMONTH(R$3,0)+1,-3),WORKDAY(EOMONTH(R$4,0)+1,-3)&gt;=MAX(R$3,$E7),WORKDAY(EOMONTH(R$4,0)+1,-3)&lt;=IF($F7="",R$4,MIN(R$4,$F7)))*1),IF(AND(IF(EDATE($E7,MAX(0,ROUNDUP(((YEAR(R$3)-YEAR($E7))*12+MONTH(R$3)-MONTH($E7))/$G7,0)*$G7))&lt;R$3,EDATE($E7,MAX(0,ROUNDUP(((YEAR(R$3)-YEAR($E7))*12+MONTH(R$3)-MONTH($E7))/$G7,0)*$G7)+$G7),EDATE($E7,MAX(0,ROUNDUP(((YEAR(R$3)-YEAR($E7))*12+MONTH(R$3)-MONTH($E7))/$G7,0)*$G7)))&gt;=R$3,IF(EDATE($E7,MAX(0,ROUNDUP(((YEAR(R$3)-YEAR($E7))*12+MONTH(R$3)-MONTH($E7))/$G7,0)*$G7))&lt;R$3,EDATE($E7,MAX(0,ROUNDUP(((YEAR(R$3)-YEAR($E7))*12+MONTH(R$3)-MONTH($E7))/$G7,0)*$G7)+$G7),EDATE($E7,MAX(0,ROUNDUP(((YEAR(R$3)-YEAR($E7))*12+MONTH(R$3)-MONTH($E7))/$G7,0)*$G7)))&lt;=IF($F7="",R$4,MIN(R$4,$F7))),1,0)))))</f>
        <v>0</v>
      </c>
      <c r="S7" s="25" t="n">
        <f aca="false">IF(OR($C7="",$C7=0,$E7="",$B7="",$G7=-2),0,$C7*IF($G7=0,IF(IF($F7="",S$4,MIN(S$4,$F7))&lt;$E7,0,MAX(0,INT((IF($F7="",S$4,MIN(S$4,$F7))-$E7)/7)+1-MAX(0,ROUNDUP((S$3-$E7)/7,0)))),IF($G7=101,(AND(EOMONTH(S$3,0)&gt;=MAX(S$3,$E7),EOMONTH(S$3,0)&lt;=IF($F7="",S$4,MIN(S$4,$F7)))*1+AND(EOMONTH(S$4,0)&lt;&gt;EOMONTH(S$3,0),EOMONTH(S$4,0)&gt;=MAX(S$3,$E7),EOMONTH(S$4,0)&lt;=IF($F7="",S$4,MIN(S$4,$F7)))*1),IF($G7=102,(AND(WORKDAY(EOMONTH(S$3,0)+1,-3)&gt;=MAX(S$3,$E7),WORKDAY(EOMONTH(S$3,0)+1,-3)&lt;=IF($F7="",S$4,MIN(S$4,$F7)))*1+AND(WORKDAY(EOMONTH(S$4,0)+1,-3)&lt;&gt;WORKDAY(EOMONTH(S$3,0)+1,-3),WORKDAY(EOMONTH(S$4,0)+1,-3)&gt;=MAX(S$3,$E7),WORKDAY(EOMONTH(S$4,0)+1,-3)&lt;=IF($F7="",S$4,MIN(S$4,$F7)))*1),IF(AND(IF(EDATE($E7,MAX(0,ROUNDUP(((YEAR(S$3)-YEAR($E7))*12+MONTH(S$3)-MONTH($E7))/$G7,0)*$G7))&lt;S$3,EDATE($E7,MAX(0,ROUNDUP(((YEAR(S$3)-YEAR($E7))*12+MONTH(S$3)-MONTH($E7))/$G7,0)*$G7)+$G7),EDATE($E7,MAX(0,ROUNDUP(((YEAR(S$3)-YEAR($E7))*12+MONTH(S$3)-MONTH($E7))/$G7,0)*$G7)))&gt;=S$3,IF(EDATE($E7,MAX(0,ROUNDUP(((YEAR(S$3)-YEAR($E7))*12+MONTH(S$3)-MONTH($E7))/$G7,0)*$G7))&lt;S$3,EDATE($E7,MAX(0,ROUNDUP(((YEAR(S$3)-YEAR($E7))*12+MONTH(S$3)-MONTH($E7))/$G7,0)*$G7)+$G7),EDATE($E7,MAX(0,ROUNDUP(((YEAR(S$3)-YEAR($E7))*12+MONTH(S$3)-MONTH($E7))/$G7,0)*$G7)))&lt;=IF($F7="",S$4,MIN(S$4,$F7))),1,0)))))</f>
        <v>0</v>
      </c>
      <c r="T7" s="25" t="n">
        <f aca="false">IF(OR($C7="",$C7=0,$E7="",$B7="",$G7=-2),0,$C7*IF($G7=0,IF(IF($F7="",T$4,MIN(T$4,$F7))&lt;$E7,0,MAX(0,INT((IF($F7="",T$4,MIN(T$4,$F7))-$E7)/7)+1-MAX(0,ROUNDUP((T$3-$E7)/7,0)))),IF($G7=101,(AND(EOMONTH(T$3,0)&gt;=MAX(T$3,$E7),EOMONTH(T$3,0)&lt;=IF($F7="",T$4,MIN(T$4,$F7)))*1+AND(EOMONTH(T$4,0)&lt;&gt;EOMONTH(T$3,0),EOMONTH(T$4,0)&gt;=MAX(T$3,$E7),EOMONTH(T$4,0)&lt;=IF($F7="",T$4,MIN(T$4,$F7)))*1),IF($G7=102,(AND(WORKDAY(EOMONTH(T$3,0)+1,-3)&gt;=MAX(T$3,$E7),WORKDAY(EOMONTH(T$3,0)+1,-3)&lt;=IF($F7="",T$4,MIN(T$4,$F7)))*1+AND(WORKDAY(EOMONTH(T$4,0)+1,-3)&lt;&gt;WORKDAY(EOMONTH(T$3,0)+1,-3),WORKDAY(EOMONTH(T$4,0)+1,-3)&gt;=MAX(T$3,$E7),WORKDAY(EOMONTH(T$4,0)+1,-3)&lt;=IF($F7="",T$4,MIN(T$4,$F7)))*1),IF(AND(IF(EDATE($E7,MAX(0,ROUNDUP(((YEAR(T$3)-YEAR($E7))*12+MONTH(T$3)-MONTH($E7))/$G7,0)*$G7))&lt;T$3,EDATE($E7,MAX(0,ROUNDUP(((YEAR(T$3)-YEAR($E7))*12+MONTH(T$3)-MONTH($E7))/$G7,0)*$G7)+$G7),EDATE($E7,MAX(0,ROUNDUP(((YEAR(T$3)-YEAR($E7))*12+MONTH(T$3)-MONTH($E7))/$G7,0)*$G7)))&gt;=T$3,IF(EDATE($E7,MAX(0,ROUNDUP(((YEAR(T$3)-YEAR($E7))*12+MONTH(T$3)-MONTH($E7))/$G7,0)*$G7))&lt;T$3,EDATE($E7,MAX(0,ROUNDUP(((YEAR(T$3)-YEAR($E7))*12+MONTH(T$3)-MONTH($E7))/$G7,0)*$G7)+$G7),EDATE($E7,MAX(0,ROUNDUP(((YEAR(T$3)-YEAR($E7))*12+MONTH(T$3)-MONTH($E7))/$G7,0)*$G7)))&lt;=IF($F7="",T$4,MIN(T$4,$F7))),1,0)))))</f>
        <v>0</v>
      </c>
      <c r="U7" s="25" t="n">
        <f aca="false">IF(OR($C7="",$C7=0,$E7="",$B7="",$G7=-2),0,$C7*IF($G7=0,IF(IF($F7="",U$4,MIN(U$4,$F7))&lt;$E7,0,MAX(0,INT((IF($F7="",U$4,MIN(U$4,$F7))-$E7)/7)+1-MAX(0,ROUNDUP((U$3-$E7)/7,0)))),IF($G7=101,(AND(EOMONTH(U$3,0)&gt;=MAX(U$3,$E7),EOMONTH(U$3,0)&lt;=IF($F7="",U$4,MIN(U$4,$F7)))*1+AND(EOMONTH(U$4,0)&lt;&gt;EOMONTH(U$3,0),EOMONTH(U$4,0)&gt;=MAX(U$3,$E7),EOMONTH(U$4,0)&lt;=IF($F7="",U$4,MIN(U$4,$F7)))*1),IF($G7=102,(AND(WORKDAY(EOMONTH(U$3,0)+1,-3)&gt;=MAX(U$3,$E7),WORKDAY(EOMONTH(U$3,0)+1,-3)&lt;=IF($F7="",U$4,MIN(U$4,$F7)))*1+AND(WORKDAY(EOMONTH(U$4,0)+1,-3)&lt;&gt;WORKDAY(EOMONTH(U$3,0)+1,-3),WORKDAY(EOMONTH(U$4,0)+1,-3)&gt;=MAX(U$3,$E7),WORKDAY(EOMONTH(U$4,0)+1,-3)&lt;=IF($F7="",U$4,MIN(U$4,$F7)))*1),IF(AND(IF(EDATE($E7,MAX(0,ROUNDUP(((YEAR(U$3)-YEAR($E7))*12+MONTH(U$3)-MONTH($E7))/$G7,0)*$G7))&lt;U$3,EDATE($E7,MAX(0,ROUNDUP(((YEAR(U$3)-YEAR($E7))*12+MONTH(U$3)-MONTH($E7))/$G7,0)*$G7)+$G7),EDATE($E7,MAX(0,ROUNDUP(((YEAR(U$3)-YEAR($E7))*12+MONTH(U$3)-MONTH($E7))/$G7,0)*$G7)))&gt;=U$3,IF(EDATE($E7,MAX(0,ROUNDUP(((YEAR(U$3)-YEAR($E7))*12+MONTH(U$3)-MONTH($E7))/$G7,0)*$G7))&lt;U$3,EDATE($E7,MAX(0,ROUNDUP(((YEAR(U$3)-YEAR($E7))*12+MONTH(U$3)-MONTH($E7))/$G7,0)*$G7)+$G7),EDATE($E7,MAX(0,ROUNDUP(((YEAR(U$3)-YEAR($E7))*12+MONTH(U$3)-MONTH($E7))/$G7,0)*$G7)))&lt;=IF($F7="",U$4,MIN(U$4,$F7))),1,0)))))</f>
        <v>0</v>
      </c>
      <c r="V7" s="25" t="n">
        <f aca="false">IF(OR($C7="",$C7=0,$E7="",$B7="",$G7=-2),0,$C7*IF($G7=0,IF(IF($F7="",V$4,MIN(V$4,$F7))&lt;$E7,0,MAX(0,INT((IF($F7="",V$4,MIN(V$4,$F7))-$E7)/7)+1-MAX(0,ROUNDUP((V$3-$E7)/7,0)))),IF($G7=101,(AND(EOMONTH(V$3,0)&gt;=MAX(V$3,$E7),EOMONTH(V$3,0)&lt;=IF($F7="",V$4,MIN(V$4,$F7)))*1+AND(EOMONTH(V$4,0)&lt;&gt;EOMONTH(V$3,0),EOMONTH(V$4,0)&gt;=MAX(V$3,$E7),EOMONTH(V$4,0)&lt;=IF($F7="",V$4,MIN(V$4,$F7)))*1),IF($G7=102,(AND(WORKDAY(EOMONTH(V$3,0)+1,-3)&gt;=MAX(V$3,$E7),WORKDAY(EOMONTH(V$3,0)+1,-3)&lt;=IF($F7="",V$4,MIN(V$4,$F7)))*1+AND(WORKDAY(EOMONTH(V$4,0)+1,-3)&lt;&gt;WORKDAY(EOMONTH(V$3,0)+1,-3),WORKDAY(EOMONTH(V$4,0)+1,-3)&gt;=MAX(V$3,$E7),WORKDAY(EOMONTH(V$4,0)+1,-3)&lt;=IF($F7="",V$4,MIN(V$4,$F7)))*1),IF(AND(IF(EDATE($E7,MAX(0,ROUNDUP(((YEAR(V$3)-YEAR($E7))*12+MONTH(V$3)-MONTH($E7))/$G7,0)*$G7))&lt;V$3,EDATE($E7,MAX(0,ROUNDUP(((YEAR(V$3)-YEAR($E7))*12+MONTH(V$3)-MONTH($E7))/$G7,0)*$G7)+$G7),EDATE($E7,MAX(0,ROUNDUP(((YEAR(V$3)-YEAR($E7))*12+MONTH(V$3)-MONTH($E7))/$G7,0)*$G7)))&gt;=V$3,IF(EDATE($E7,MAX(0,ROUNDUP(((YEAR(V$3)-YEAR($E7))*12+MONTH(V$3)-MONTH($E7))/$G7,0)*$G7))&lt;V$3,EDATE($E7,MAX(0,ROUNDUP(((YEAR(V$3)-YEAR($E7))*12+MONTH(V$3)-MONTH($E7))/$G7,0)*$G7)+$G7),EDATE($E7,MAX(0,ROUNDUP(((YEAR(V$3)-YEAR($E7))*12+MONTH(V$3)-MONTH($E7))/$G7,0)*$G7)))&lt;=IF($F7="",V$4,MIN(V$4,$F7))),1,0)))))</f>
        <v>0</v>
      </c>
      <c r="W7" s="25" t="n">
        <f aca="false">IF(OR($C7="",$C7=0,$E7="",$B7="",$G7=-2),0,$C7*IF($G7=0,IF(IF($F7="",W$4,MIN(W$4,$F7))&lt;$E7,0,MAX(0,INT((IF($F7="",W$4,MIN(W$4,$F7))-$E7)/7)+1-MAX(0,ROUNDUP((W$3-$E7)/7,0)))),IF($G7=101,(AND(EOMONTH(W$3,0)&gt;=MAX(W$3,$E7),EOMONTH(W$3,0)&lt;=IF($F7="",W$4,MIN(W$4,$F7)))*1+AND(EOMONTH(W$4,0)&lt;&gt;EOMONTH(W$3,0),EOMONTH(W$4,0)&gt;=MAX(W$3,$E7),EOMONTH(W$4,0)&lt;=IF($F7="",W$4,MIN(W$4,$F7)))*1),IF($G7=102,(AND(WORKDAY(EOMONTH(W$3,0)+1,-3)&gt;=MAX(W$3,$E7),WORKDAY(EOMONTH(W$3,0)+1,-3)&lt;=IF($F7="",W$4,MIN(W$4,$F7)))*1+AND(WORKDAY(EOMONTH(W$4,0)+1,-3)&lt;&gt;WORKDAY(EOMONTH(W$3,0)+1,-3),WORKDAY(EOMONTH(W$4,0)+1,-3)&gt;=MAX(W$3,$E7),WORKDAY(EOMONTH(W$4,0)+1,-3)&lt;=IF($F7="",W$4,MIN(W$4,$F7)))*1),IF(AND(IF(EDATE($E7,MAX(0,ROUNDUP(((YEAR(W$3)-YEAR($E7))*12+MONTH(W$3)-MONTH($E7))/$G7,0)*$G7))&lt;W$3,EDATE($E7,MAX(0,ROUNDUP(((YEAR(W$3)-YEAR($E7))*12+MONTH(W$3)-MONTH($E7))/$G7,0)*$G7)+$G7),EDATE($E7,MAX(0,ROUNDUP(((YEAR(W$3)-YEAR($E7))*12+MONTH(W$3)-MONTH($E7))/$G7,0)*$G7)))&gt;=W$3,IF(EDATE($E7,MAX(0,ROUNDUP(((YEAR(W$3)-YEAR($E7))*12+MONTH(W$3)-MONTH($E7))/$G7,0)*$G7))&lt;W$3,EDATE($E7,MAX(0,ROUNDUP(((YEAR(W$3)-YEAR($E7))*12+MONTH(W$3)-MONTH($E7))/$G7,0)*$G7)+$G7),EDATE($E7,MAX(0,ROUNDUP(((YEAR(W$3)-YEAR($E7))*12+MONTH(W$3)-MONTH($E7))/$G7,0)*$G7)))&lt;=IF($F7="",W$4,MIN(W$4,$F7))),1,0)))))</f>
        <v>0</v>
      </c>
      <c r="X7" s="25" t="n">
        <f aca="false">IF(OR($C7="",$C7=0,$E7="",$B7="",$G7=-2),0,$C7*IF($G7=0,IF(IF($F7="",X$4,MIN(X$4,$F7))&lt;$E7,0,MAX(0,INT((IF($F7="",X$4,MIN(X$4,$F7))-$E7)/7)+1-MAX(0,ROUNDUP((X$3-$E7)/7,0)))),IF($G7=101,(AND(EOMONTH(X$3,0)&gt;=MAX(X$3,$E7),EOMONTH(X$3,0)&lt;=IF($F7="",X$4,MIN(X$4,$F7)))*1+AND(EOMONTH(X$4,0)&lt;&gt;EOMONTH(X$3,0),EOMONTH(X$4,0)&gt;=MAX(X$3,$E7),EOMONTH(X$4,0)&lt;=IF($F7="",X$4,MIN(X$4,$F7)))*1),IF($G7=102,(AND(WORKDAY(EOMONTH(X$3,0)+1,-3)&gt;=MAX(X$3,$E7),WORKDAY(EOMONTH(X$3,0)+1,-3)&lt;=IF($F7="",X$4,MIN(X$4,$F7)))*1+AND(WORKDAY(EOMONTH(X$4,0)+1,-3)&lt;&gt;WORKDAY(EOMONTH(X$3,0)+1,-3),WORKDAY(EOMONTH(X$4,0)+1,-3)&gt;=MAX(X$3,$E7),WORKDAY(EOMONTH(X$4,0)+1,-3)&lt;=IF($F7="",X$4,MIN(X$4,$F7)))*1),IF(AND(IF(EDATE($E7,MAX(0,ROUNDUP(((YEAR(X$3)-YEAR($E7))*12+MONTH(X$3)-MONTH($E7))/$G7,0)*$G7))&lt;X$3,EDATE($E7,MAX(0,ROUNDUP(((YEAR(X$3)-YEAR($E7))*12+MONTH(X$3)-MONTH($E7))/$G7,0)*$G7)+$G7),EDATE($E7,MAX(0,ROUNDUP(((YEAR(X$3)-YEAR($E7))*12+MONTH(X$3)-MONTH($E7))/$G7,0)*$G7)))&gt;=X$3,IF(EDATE($E7,MAX(0,ROUNDUP(((YEAR(X$3)-YEAR($E7))*12+MONTH(X$3)-MONTH($E7))/$G7,0)*$G7))&lt;X$3,EDATE($E7,MAX(0,ROUNDUP(((YEAR(X$3)-YEAR($E7))*12+MONTH(X$3)-MONTH($E7))/$G7,0)*$G7)+$G7),EDATE($E7,MAX(0,ROUNDUP(((YEAR(X$3)-YEAR($E7))*12+MONTH(X$3)-MONTH($E7))/$G7,0)*$G7)))&lt;=IF($F7="",X$4,MIN(X$4,$F7))),1,0)))))</f>
        <v>0</v>
      </c>
      <c r="Y7" s="25" t="n">
        <f aca="false">IF(OR($C7="",$C7=0,$E7="",$B7="",$G7=-2),0,$C7*IF($G7=0,IF(IF($F7="",Y$4,MIN(Y$4,$F7))&lt;$E7,0,MAX(0,INT((IF($F7="",Y$4,MIN(Y$4,$F7))-$E7)/7)+1-MAX(0,ROUNDUP((Y$3-$E7)/7,0)))),IF($G7=101,(AND(EOMONTH(Y$3,0)&gt;=MAX(Y$3,$E7),EOMONTH(Y$3,0)&lt;=IF($F7="",Y$4,MIN(Y$4,$F7)))*1+AND(EOMONTH(Y$4,0)&lt;&gt;EOMONTH(Y$3,0),EOMONTH(Y$4,0)&gt;=MAX(Y$3,$E7),EOMONTH(Y$4,0)&lt;=IF($F7="",Y$4,MIN(Y$4,$F7)))*1),IF($G7=102,(AND(WORKDAY(EOMONTH(Y$3,0)+1,-3)&gt;=MAX(Y$3,$E7),WORKDAY(EOMONTH(Y$3,0)+1,-3)&lt;=IF($F7="",Y$4,MIN(Y$4,$F7)))*1+AND(WORKDAY(EOMONTH(Y$4,0)+1,-3)&lt;&gt;WORKDAY(EOMONTH(Y$3,0)+1,-3),WORKDAY(EOMONTH(Y$4,0)+1,-3)&gt;=MAX(Y$3,$E7),WORKDAY(EOMONTH(Y$4,0)+1,-3)&lt;=IF($F7="",Y$4,MIN(Y$4,$F7)))*1),IF(AND(IF(EDATE($E7,MAX(0,ROUNDUP(((YEAR(Y$3)-YEAR($E7))*12+MONTH(Y$3)-MONTH($E7))/$G7,0)*$G7))&lt;Y$3,EDATE($E7,MAX(0,ROUNDUP(((YEAR(Y$3)-YEAR($E7))*12+MONTH(Y$3)-MONTH($E7))/$G7,0)*$G7)+$G7),EDATE($E7,MAX(0,ROUNDUP(((YEAR(Y$3)-YEAR($E7))*12+MONTH(Y$3)-MONTH($E7))/$G7,0)*$G7)))&gt;=Y$3,IF(EDATE($E7,MAX(0,ROUNDUP(((YEAR(Y$3)-YEAR($E7))*12+MONTH(Y$3)-MONTH($E7))/$G7,0)*$G7))&lt;Y$3,EDATE($E7,MAX(0,ROUNDUP(((YEAR(Y$3)-YEAR($E7))*12+MONTH(Y$3)-MONTH($E7))/$G7,0)*$G7)+$G7),EDATE($E7,MAX(0,ROUNDUP(((YEAR(Y$3)-YEAR($E7))*12+MONTH(Y$3)-MONTH($E7))/$G7,0)*$G7)))&lt;=IF($F7="",Y$4,MIN(Y$4,$F7))),1,0)))))</f>
        <v>0</v>
      </c>
      <c r="Z7" s="25" t="n">
        <f aca="false">IF(OR($C7="",$C7=0,$E7="",$B7="",$G7=-2),0,$C7*IF($G7=0,IF(IF($F7="",Z$4,MIN(Z$4,$F7))&lt;$E7,0,MAX(0,INT((IF($F7="",Z$4,MIN(Z$4,$F7))-$E7)/7)+1-MAX(0,ROUNDUP((Z$3-$E7)/7,0)))),IF($G7=101,(AND(EOMONTH(Z$3,0)&gt;=MAX(Z$3,$E7),EOMONTH(Z$3,0)&lt;=IF($F7="",Z$4,MIN(Z$4,$F7)))*1+AND(EOMONTH(Z$4,0)&lt;&gt;EOMONTH(Z$3,0),EOMONTH(Z$4,0)&gt;=MAX(Z$3,$E7),EOMONTH(Z$4,0)&lt;=IF($F7="",Z$4,MIN(Z$4,$F7)))*1),IF($G7=102,(AND(WORKDAY(EOMONTH(Z$3,0)+1,-3)&gt;=MAX(Z$3,$E7),WORKDAY(EOMONTH(Z$3,0)+1,-3)&lt;=IF($F7="",Z$4,MIN(Z$4,$F7)))*1+AND(WORKDAY(EOMONTH(Z$4,0)+1,-3)&lt;&gt;WORKDAY(EOMONTH(Z$3,0)+1,-3),WORKDAY(EOMONTH(Z$4,0)+1,-3)&gt;=MAX(Z$3,$E7),WORKDAY(EOMONTH(Z$4,0)+1,-3)&lt;=IF($F7="",Z$4,MIN(Z$4,$F7)))*1),IF(AND(IF(EDATE($E7,MAX(0,ROUNDUP(((YEAR(Z$3)-YEAR($E7))*12+MONTH(Z$3)-MONTH($E7))/$G7,0)*$G7))&lt;Z$3,EDATE($E7,MAX(0,ROUNDUP(((YEAR(Z$3)-YEAR($E7))*12+MONTH(Z$3)-MONTH($E7))/$G7,0)*$G7)+$G7),EDATE($E7,MAX(0,ROUNDUP(((YEAR(Z$3)-YEAR($E7))*12+MONTH(Z$3)-MONTH($E7))/$G7,0)*$G7)))&gt;=Z$3,IF(EDATE($E7,MAX(0,ROUNDUP(((YEAR(Z$3)-YEAR($E7))*12+MONTH(Z$3)-MONTH($E7))/$G7,0)*$G7))&lt;Z$3,EDATE($E7,MAX(0,ROUNDUP(((YEAR(Z$3)-YEAR($E7))*12+MONTH(Z$3)-MONTH($E7))/$G7,0)*$G7)+$G7),EDATE($E7,MAX(0,ROUNDUP(((YEAR(Z$3)-YEAR($E7))*12+MONTH(Z$3)-MONTH($E7))/$G7,0)*$G7)))&lt;=IF($F7="",Z$4,MIN(Z$4,$F7))),1,0)))))</f>
        <v>0</v>
      </c>
      <c r="AA7" s="25" t="n">
        <f aca="false">IF(OR($C7="",$C7=0,$E7="",$B7="",$G7=-2),0,$C7*IF($G7=0,IF(IF($F7="",AA$4,MIN(AA$4,$F7))&lt;$E7,0,MAX(0,INT((IF($F7="",AA$4,MIN(AA$4,$F7))-$E7)/7)+1-MAX(0,ROUNDUP((AA$3-$E7)/7,0)))),IF($G7=101,(AND(EOMONTH(AA$3,0)&gt;=MAX(AA$3,$E7),EOMONTH(AA$3,0)&lt;=IF($F7="",AA$4,MIN(AA$4,$F7)))*1+AND(EOMONTH(AA$4,0)&lt;&gt;EOMONTH(AA$3,0),EOMONTH(AA$4,0)&gt;=MAX(AA$3,$E7),EOMONTH(AA$4,0)&lt;=IF($F7="",AA$4,MIN(AA$4,$F7)))*1),IF($G7=102,(AND(WORKDAY(EOMONTH(AA$3,0)+1,-3)&gt;=MAX(AA$3,$E7),WORKDAY(EOMONTH(AA$3,0)+1,-3)&lt;=IF($F7="",AA$4,MIN(AA$4,$F7)))*1+AND(WORKDAY(EOMONTH(AA$4,0)+1,-3)&lt;&gt;WORKDAY(EOMONTH(AA$3,0)+1,-3),WORKDAY(EOMONTH(AA$4,0)+1,-3)&gt;=MAX(AA$3,$E7),WORKDAY(EOMONTH(AA$4,0)+1,-3)&lt;=IF($F7="",AA$4,MIN(AA$4,$F7)))*1),IF(AND(IF(EDATE($E7,MAX(0,ROUNDUP(((YEAR(AA$3)-YEAR($E7))*12+MONTH(AA$3)-MONTH($E7))/$G7,0)*$G7))&lt;AA$3,EDATE($E7,MAX(0,ROUNDUP(((YEAR(AA$3)-YEAR($E7))*12+MONTH(AA$3)-MONTH($E7))/$G7,0)*$G7)+$G7),EDATE($E7,MAX(0,ROUNDUP(((YEAR(AA$3)-YEAR($E7))*12+MONTH(AA$3)-MONTH($E7))/$G7,0)*$G7)))&gt;=AA$3,IF(EDATE($E7,MAX(0,ROUNDUP(((YEAR(AA$3)-YEAR($E7))*12+MONTH(AA$3)-MONTH($E7))/$G7,0)*$G7))&lt;AA$3,EDATE($E7,MAX(0,ROUNDUP(((YEAR(AA$3)-YEAR($E7))*12+MONTH(AA$3)-MONTH($E7))/$G7,0)*$G7)+$G7),EDATE($E7,MAX(0,ROUNDUP(((YEAR(AA$3)-YEAR($E7))*12+MONTH(AA$3)-MONTH($E7))/$G7,0)*$G7)))&lt;=IF($F7="",AA$4,MIN(AA$4,$F7))),1,0)))))</f>
        <v>0</v>
      </c>
      <c r="AB7" s="25" t="n">
        <f aca="false">IF(OR($C7="",$C7=0,$E7="",$B7="",$G7=-2),0,$C7*IF($G7=0,IF(IF($F7="",AB$4,MIN(AB$4,$F7))&lt;$E7,0,MAX(0,INT((IF($F7="",AB$4,MIN(AB$4,$F7))-$E7)/7)+1-MAX(0,ROUNDUP((AB$3-$E7)/7,0)))),IF($G7=101,(AND(EOMONTH(AB$3,0)&gt;=MAX(AB$3,$E7),EOMONTH(AB$3,0)&lt;=IF($F7="",AB$4,MIN(AB$4,$F7)))*1+AND(EOMONTH(AB$4,0)&lt;&gt;EOMONTH(AB$3,0),EOMONTH(AB$4,0)&gt;=MAX(AB$3,$E7),EOMONTH(AB$4,0)&lt;=IF($F7="",AB$4,MIN(AB$4,$F7)))*1),IF($G7=102,(AND(WORKDAY(EOMONTH(AB$3,0)+1,-3)&gt;=MAX(AB$3,$E7),WORKDAY(EOMONTH(AB$3,0)+1,-3)&lt;=IF($F7="",AB$4,MIN(AB$4,$F7)))*1+AND(WORKDAY(EOMONTH(AB$4,0)+1,-3)&lt;&gt;WORKDAY(EOMONTH(AB$3,0)+1,-3),WORKDAY(EOMONTH(AB$4,0)+1,-3)&gt;=MAX(AB$3,$E7),WORKDAY(EOMONTH(AB$4,0)+1,-3)&lt;=IF($F7="",AB$4,MIN(AB$4,$F7)))*1),IF(AND(IF(EDATE($E7,MAX(0,ROUNDUP(((YEAR(AB$3)-YEAR($E7))*12+MONTH(AB$3)-MONTH($E7))/$G7,0)*$G7))&lt;AB$3,EDATE($E7,MAX(0,ROUNDUP(((YEAR(AB$3)-YEAR($E7))*12+MONTH(AB$3)-MONTH($E7))/$G7,0)*$G7)+$G7),EDATE($E7,MAX(0,ROUNDUP(((YEAR(AB$3)-YEAR($E7))*12+MONTH(AB$3)-MONTH($E7))/$G7,0)*$G7)))&gt;=AB$3,IF(EDATE($E7,MAX(0,ROUNDUP(((YEAR(AB$3)-YEAR($E7))*12+MONTH(AB$3)-MONTH($E7))/$G7,0)*$G7))&lt;AB$3,EDATE($E7,MAX(0,ROUNDUP(((YEAR(AB$3)-YEAR($E7))*12+MONTH(AB$3)-MONTH($E7))/$G7,0)*$G7)+$G7),EDATE($E7,MAX(0,ROUNDUP(((YEAR(AB$3)-YEAR($E7))*12+MONTH(AB$3)-MONTH($E7))/$G7,0)*$G7)))&lt;=IF($F7="",AB$4,MIN(AB$4,$F7))),1,0)))))</f>
        <v>0</v>
      </c>
      <c r="AC7" s="25" t="n">
        <f aca="false">IF(OR($C7="",$C7=0,$E7="",$B7="",$G7=-2),0,$C7*IF($G7=0,IF(IF($F7="",AC$4,MIN(AC$4,$F7))&lt;$E7,0,MAX(0,INT((IF($F7="",AC$4,MIN(AC$4,$F7))-$E7)/7)+1-MAX(0,ROUNDUP((AC$3-$E7)/7,0)))),IF($G7=101,(AND(EOMONTH(AC$3,0)&gt;=MAX(AC$3,$E7),EOMONTH(AC$3,0)&lt;=IF($F7="",AC$4,MIN(AC$4,$F7)))*1+AND(EOMONTH(AC$4,0)&lt;&gt;EOMONTH(AC$3,0),EOMONTH(AC$4,0)&gt;=MAX(AC$3,$E7),EOMONTH(AC$4,0)&lt;=IF($F7="",AC$4,MIN(AC$4,$F7)))*1),IF($G7=102,(AND(WORKDAY(EOMONTH(AC$3,0)+1,-3)&gt;=MAX(AC$3,$E7),WORKDAY(EOMONTH(AC$3,0)+1,-3)&lt;=IF($F7="",AC$4,MIN(AC$4,$F7)))*1+AND(WORKDAY(EOMONTH(AC$4,0)+1,-3)&lt;&gt;WORKDAY(EOMONTH(AC$3,0)+1,-3),WORKDAY(EOMONTH(AC$4,0)+1,-3)&gt;=MAX(AC$3,$E7),WORKDAY(EOMONTH(AC$4,0)+1,-3)&lt;=IF($F7="",AC$4,MIN(AC$4,$F7)))*1),IF(AND(IF(EDATE($E7,MAX(0,ROUNDUP(((YEAR(AC$3)-YEAR($E7))*12+MONTH(AC$3)-MONTH($E7))/$G7,0)*$G7))&lt;AC$3,EDATE($E7,MAX(0,ROUNDUP(((YEAR(AC$3)-YEAR($E7))*12+MONTH(AC$3)-MONTH($E7))/$G7,0)*$G7)+$G7),EDATE($E7,MAX(0,ROUNDUP(((YEAR(AC$3)-YEAR($E7))*12+MONTH(AC$3)-MONTH($E7))/$G7,0)*$G7)))&gt;=AC$3,IF(EDATE($E7,MAX(0,ROUNDUP(((YEAR(AC$3)-YEAR($E7))*12+MONTH(AC$3)-MONTH($E7))/$G7,0)*$G7))&lt;AC$3,EDATE($E7,MAX(0,ROUNDUP(((YEAR(AC$3)-YEAR($E7))*12+MONTH(AC$3)-MONTH($E7))/$G7,0)*$G7)+$G7),EDATE($E7,MAX(0,ROUNDUP(((YEAR(AC$3)-YEAR($E7))*12+MONTH(AC$3)-MONTH($E7))/$G7,0)*$G7)))&lt;=IF($F7="",AC$4,MIN(AC$4,$F7))),1,0)))))</f>
        <v>0</v>
      </c>
      <c r="AD7" s="25" t="n">
        <f aca="false">IF(OR($C7="",$C7=0,$E7="",$B7="",$G7=-2),0,$C7*IF($G7=0,IF(IF($F7="",AD$4,MIN(AD$4,$F7))&lt;$E7,0,MAX(0,INT((IF($F7="",AD$4,MIN(AD$4,$F7))-$E7)/7)+1-MAX(0,ROUNDUP((AD$3-$E7)/7,0)))),IF($G7=101,(AND(EOMONTH(AD$3,0)&gt;=MAX(AD$3,$E7),EOMONTH(AD$3,0)&lt;=IF($F7="",AD$4,MIN(AD$4,$F7)))*1+AND(EOMONTH(AD$4,0)&lt;&gt;EOMONTH(AD$3,0),EOMONTH(AD$4,0)&gt;=MAX(AD$3,$E7),EOMONTH(AD$4,0)&lt;=IF($F7="",AD$4,MIN(AD$4,$F7)))*1),IF($G7=102,(AND(WORKDAY(EOMONTH(AD$3,0)+1,-3)&gt;=MAX(AD$3,$E7),WORKDAY(EOMONTH(AD$3,0)+1,-3)&lt;=IF($F7="",AD$4,MIN(AD$4,$F7)))*1+AND(WORKDAY(EOMONTH(AD$4,0)+1,-3)&lt;&gt;WORKDAY(EOMONTH(AD$3,0)+1,-3),WORKDAY(EOMONTH(AD$4,0)+1,-3)&gt;=MAX(AD$3,$E7),WORKDAY(EOMONTH(AD$4,0)+1,-3)&lt;=IF($F7="",AD$4,MIN(AD$4,$F7)))*1),IF(AND(IF(EDATE($E7,MAX(0,ROUNDUP(((YEAR(AD$3)-YEAR($E7))*12+MONTH(AD$3)-MONTH($E7))/$G7,0)*$G7))&lt;AD$3,EDATE($E7,MAX(0,ROUNDUP(((YEAR(AD$3)-YEAR($E7))*12+MONTH(AD$3)-MONTH($E7))/$G7,0)*$G7)+$G7),EDATE($E7,MAX(0,ROUNDUP(((YEAR(AD$3)-YEAR($E7))*12+MONTH(AD$3)-MONTH($E7))/$G7,0)*$G7)))&gt;=AD$3,IF(EDATE($E7,MAX(0,ROUNDUP(((YEAR(AD$3)-YEAR($E7))*12+MONTH(AD$3)-MONTH($E7))/$G7,0)*$G7))&lt;AD$3,EDATE($E7,MAX(0,ROUNDUP(((YEAR(AD$3)-YEAR($E7))*12+MONTH(AD$3)-MONTH($E7))/$G7,0)*$G7)+$G7),EDATE($E7,MAX(0,ROUNDUP(((YEAR(AD$3)-YEAR($E7))*12+MONTH(AD$3)-MONTH($E7))/$G7,0)*$G7)))&lt;=IF($F7="",AD$4,MIN(AD$4,$F7))),1,0)))))</f>
        <v>0</v>
      </c>
      <c r="AE7" s="25" t="n">
        <f aca="false">IF(OR($C7="",$C7=0,$E7="",$B7="",$G7=-2),0,$C7*IF($G7=0,IF(IF($F7="",AE$4,MIN(AE$4,$F7))&lt;$E7,0,MAX(0,INT((IF($F7="",AE$4,MIN(AE$4,$F7))-$E7)/7)+1-MAX(0,ROUNDUP((AE$3-$E7)/7,0)))),IF($G7=101,(AND(EOMONTH(AE$3,0)&gt;=MAX(AE$3,$E7),EOMONTH(AE$3,0)&lt;=IF($F7="",AE$4,MIN(AE$4,$F7)))*1+AND(EOMONTH(AE$4,0)&lt;&gt;EOMONTH(AE$3,0),EOMONTH(AE$4,0)&gt;=MAX(AE$3,$E7),EOMONTH(AE$4,0)&lt;=IF($F7="",AE$4,MIN(AE$4,$F7)))*1),IF($G7=102,(AND(WORKDAY(EOMONTH(AE$3,0)+1,-3)&gt;=MAX(AE$3,$E7),WORKDAY(EOMONTH(AE$3,0)+1,-3)&lt;=IF($F7="",AE$4,MIN(AE$4,$F7)))*1+AND(WORKDAY(EOMONTH(AE$4,0)+1,-3)&lt;&gt;WORKDAY(EOMONTH(AE$3,0)+1,-3),WORKDAY(EOMONTH(AE$4,0)+1,-3)&gt;=MAX(AE$3,$E7),WORKDAY(EOMONTH(AE$4,0)+1,-3)&lt;=IF($F7="",AE$4,MIN(AE$4,$F7)))*1),IF(AND(IF(EDATE($E7,MAX(0,ROUNDUP(((YEAR(AE$3)-YEAR($E7))*12+MONTH(AE$3)-MONTH($E7))/$G7,0)*$G7))&lt;AE$3,EDATE($E7,MAX(0,ROUNDUP(((YEAR(AE$3)-YEAR($E7))*12+MONTH(AE$3)-MONTH($E7))/$G7,0)*$G7)+$G7),EDATE($E7,MAX(0,ROUNDUP(((YEAR(AE$3)-YEAR($E7))*12+MONTH(AE$3)-MONTH($E7))/$G7,0)*$G7)))&gt;=AE$3,IF(EDATE($E7,MAX(0,ROUNDUP(((YEAR(AE$3)-YEAR($E7))*12+MONTH(AE$3)-MONTH($E7))/$G7,0)*$G7))&lt;AE$3,EDATE($E7,MAX(0,ROUNDUP(((YEAR(AE$3)-YEAR($E7))*12+MONTH(AE$3)-MONTH($E7))/$G7,0)*$G7)+$G7),EDATE($E7,MAX(0,ROUNDUP(((YEAR(AE$3)-YEAR($E7))*12+MONTH(AE$3)-MONTH($E7))/$G7,0)*$G7)))&lt;=IF($F7="",AE$4,MIN(AE$4,$F7))),1,0)))))</f>
        <v>0</v>
      </c>
      <c r="AF7" s="25" t="n">
        <f aca="false">IF(OR($C7="",$C7=0,$E7="",$B7="",$G7=-2),0,$C7*IF($G7=0,IF(IF($F7="",AF$4,MIN(AF$4,$F7))&lt;$E7,0,MAX(0,INT((IF($F7="",AF$4,MIN(AF$4,$F7))-$E7)/7)+1-MAX(0,ROUNDUP((AF$3-$E7)/7,0)))),IF($G7=101,(AND(EOMONTH(AF$3,0)&gt;=MAX(AF$3,$E7),EOMONTH(AF$3,0)&lt;=IF($F7="",AF$4,MIN(AF$4,$F7)))*1+AND(EOMONTH(AF$4,0)&lt;&gt;EOMONTH(AF$3,0),EOMONTH(AF$4,0)&gt;=MAX(AF$3,$E7),EOMONTH(AF$4,0)&lt;=IF($F7="",AF$4,MIN(AF$4,$F7)))*1),IF($G7=102,(AND(WORKDAY(EOMONTH(AF$3,0)+1,-3)&gt;=MAX(AF$3,$E7),WORKDAY(EOMONTH(AF$3,0)+1,-3)&lt;=IF($F7="",AF$4,MIN(AF$4,$F7)))*1+AND(WORKDAY(EOMONTH(AF$4,0)+1,-3)&lt;&gt;WORKDAY(EOMONTH(AF$3,0)+1,-3),WORKDAY(EOMONTH(AF$4,0)+1,-3)&gt;=MAX(AF$3,$E7),WORKDAY(EOMONTH(AF$4,0)+1,-3)&lt;=IF($F7="",AF$4,MIN(AF$4,$F7)))*1),IF(AND(IF(EDATE($E7,MAX(0,ROUNDUP(((YEAR(AF$3)-YEAR($E7))*12+MONTH(AF$3)-MONTH($E7))/$G7,0)*$G7))&lt;AF$3,EDATE($E7,MAX(0,ROUNDUP(((YEAR(AF$3)-YEAR($E7))*12+MONTH(AF$3)-MONTH($E7))/$G7,0)*$G7)+$G7),EDATE($E7,MAX(0,ROUNDUP(((YEAR(AF$3)-YEAR($E7))*12+MONTH(AF$3)-MONTH($E7))/$G7,0)*$G7)))&gt;=AF$3,IF(EDATE($E7,MAX(0,ROUNDUP(((YEAR(AF$3)-YEAR($E7))*12+MONTH(AF$3)-MONTH($E7))/$G7,0)*$G7))&lt;AF$3,EDATE($E7,MAX(0,ROUNDUP(((YEAR(AF$3)-YEAR($E7))*12+MONTH(AF$3)-MONTH($E7))/$G7,0)*$G7)+$G7),EDATE($E7,MAX(0,ROUNDUP(((YEAR(AF$3)-YEAR($E7))*12+MONTH(AF$3)-MONTH($E7))/$G7,0)*$G7)))&lt;=IF($F7="",AF$4,MIN(AF$4,$F7))),1,0)))))</f>
        <v>0</v>
      </c>
    </row>
    <row r="8" customFormat="false" ht="15" hidden="false" customHeight="false" outlineLevel="0" collapsed="false">
      <c r="A8" s="5"/>
      <c r="B8" s="5"/>
      <c r="C8" s="8"/>
      <c r="D8" s="5"/>
      <c r="E8" s="7"/>
      <c r="F8" s="7"/>
      <c r="G8" s="24" t="n">
        <f aca="false">IFERROR(INDEX(Listen!$E$2:$E$8,MATCH(D8,Listen!$D$2:$D$8,0)),-2)</f>
        <v>-2</v>
      </c>
      <c r="H8" s="25" t="n">
        <f aca="false">IF(OR($C8="",$C8=0,$E8="",$B8="",$G8=-2),0,$C8*IF($G8=0,IF(IF($F8="",H$4,MIN(H$4,$F8))&lt;$E8,0,MAX(0,INT((IF($F8="",H$4,MIN(H$4,$F8))-$E8)/7)+1-MAX(0,ROUNDUP((H$3-$E8)/7,0)))),IF($G8=101,(AND(EOMONTH(H$3,0)&gt;=MAX(H$3,$E8),EOMONTH(H$3,0)&lt;=IF($F8="",H$4,MIN(H$4,$F8)))*1+AND(EOMONTH(H$4,0)&lt;&gt;EOMONTH(H$3,0),EOMONTH(H$4,0)&gt;=MAX(H$3,$E8),EOMONTH(H$4,0)&lt;=IF($F8="",H$4,MIN(H$4,$F8)))*1),IF($G8=102,(AND(WORKDAY(EOMONTH(H$3,0)+1,-3)&gt;=MAX(H$3,$E8),WORKDAY(EOMONTH(H$3,0)+1,-3)&lt;=IF($F8="",H$4,MIN(H$4,$F8)))*1+AND(WORKDAY(EOMONTH(H$4,0)+1,-3)&lt;&gt;WORKDAY(EOMONTH(H$3,0)+1,-3),WORKDAY(EOMONTH(H$4,0)+1,-3)&gt;=MAX(H$3,$E8),WORKDAY(EOMONTH(H$4,0)+1,-3)&lt;=IF($F8="",H$4,MIN(H$4,$F8)))*1),IF(AND(IF(EDATE($E8,MAX(0,ROUNDUP(((YEAR(H$3)-YEAR($E8))*12+MONTH(H$3)-MONTH($E8))/$G8,0)*$G8))&lt;H$3,EDATE($E8,MAX(0,ROUNDUP(((YEAR(H$3)-YEAR($E8))*12+MONTH(H$3)-MONTH($E8))/$G8,0)*$G8)+$G8),EDATE($E8,MAX(0,ROUNDUP(((YEAR(H$3)-YEAR($E8))*12+MONTH(H$3)-MONTH($E8))/$G8,0)*$G8)))&gt;=H$3,IF(EDATE($E8,MAX(0,ROUNDUP(((YEAR(H$3)-YEAR($E8))*12+MONTH(H$3)-MONTH($E8))/$G8,0)*$G8))&lt;H$3,EDATE($E8,MAX(0,ROUNDUP(((YEAR(H$3)-YEAR($E8))*12+MONTH(H$3)-MONTH($E8))/$G8,0)*$G8)+$G8),EDATE($E8,MAX(0,ROUNDUP(((YEAR(H$3)-YEAR($E8))*12+MONTH(H$3)-MONTH($E8))/$G8,0)*$G8)))&lt;=IF($F8="",H$4,MIN(H$4,$F8))),1,0)))))</f>
        <v>0</v>
      </c>
      <c r="I8" s="25" t="n">
        <f aca="false">IF(OR($C8="",$C8=0,$E8="",$B8="",$G8=-2),0,$C8*IF($G8=0,IF(IF($F8="",I$4,MIN(I$4,$F8))&lt;$E8,0,MAX(0,INT((IF($F8="",I$4,MIN(I$4,$F8))-$E8)/7)+1-MAX(0,ROUNDUP((I$3-$E8)/7,0)))),IF($G8=101,(AND(EOMONTH(I$3,0)&gt;=MAX(I$3,$E8),EOMONTH(I$3,0)&lt;=IF($F8="",I$4,MIN(I$4,$F8)))*1+AND(EOMONTH(I$4,0)&lt;&gt;EOMONTH(I$3,0),EOMONTH(I$4,0)&gt;=MAX(I$3,$E8),EOMONTH(I$4,0)&lt;=IF($F8="",I$4,MIN(I$4,$F8)))*1),IF($G8=102,(AND(WORKDAY(EOMONTH(I$3,0)+1,-3)&gt;=MAX(I$3,$E8),WORKDAY(EOMONTH(I$3,0)+1,-3)&lt;=IF($F8="",I$4,MIN(I$4,$F8)))*1+AND(WORKDAY(EOMONTH(I$4,0)+1,-3)&lt;&gt;WORKDAY(EOMONTH(I$3,0)+1,-3),WORKDAY(EOMONTH(I$4,0)+1,-3)&gt;=MAX(I$3,$E8),WORKDAY(EOMONTH(I$4,0)+1,-3)&lt;=IF($F8="",I$4,MIN(I$4,$F8)))*1),IF(AND(IF(EDATE($E8,MAX(0,ROUNDUP(((YEAR(I$3)-YEAR($E8))*12+MONTH(I$3)-MONTH($E8))/$G8,0)*$G8))&lt;I$3,EDATE($E8,MAX(0,ROUNDUP(((YEAR(I$3)-YEAR($E8))*12+MONTH(I$3)-MONTH($E8))/$G8,0)*$G8)+$G8),EDATE($E8,MAX(0,ROUNDUP(((YEAR(I$3)-YEAR($E8))*12+MONTH(I$3)-MONTH($E8))/$G8,0)*$G8)))&gt;=I$3,IF(EDATE($E8,MAX(0,ROUNDUP(((YEAR(I$3)-YEAR($E8))*12+MONTH(I$3)-MONTH($E8))/$G8,0)*$G8))&lt;I$3,EDATE($E8,MAX(0,ROUNDUP(((YEAR(I$3)-YEAR($E8))*12+MONTH(I$3)-MONTH($E8))/$G8,0)*$G8)+$G8),EDATE($E8,MAX(0,ROUNDUP(((YEAR(I$3)-YEAR($E8))*12+MONTH(I$3)-MONTH($E8))/$G8,0)*$G8)))&lt;=IF($F8="",I$4,MIN(I$4,$F8))),1,0)))))</f>
        <v>0</v>
      </c>
      <c r="J8" s="25" t="n">
        <f aca="false">IF(OR($C8="",$C8=0,$E8="",$B8="",$G8=-2),0,$C8*IF($G8=0,IF(IF($F8="",J$4,MIN(J$4,$F8))&lt;$E8,0,MAX(0,INT((IF($F8="",J$4,MIN(J$4,$F8))-$E8)/7)+1-MAX(0,ROUNDUP((J$3-$E8)/7,0)))),IF($G8=101,(AND(EOMONTH(J$3,0)&gt;=MAX(J$3,$E8),EOMONTH(J$3,0)&lt;=IF($F8="",J$4,MIN(J$4,$F8)))*1+AND(EOMONTH(J$4,0)&lt;&gt;EOMONTH(J$3,0),EOMONTH(J$4,0)&gt;=MAX(J$3,$E8),EOMONTH(J$4,0)&lt;=IF($F8="",J$4,MIN(J$4,$F8)))*1),IF($G8=102,(AND(WORKDAY(EOMONTH(J$3,0)+1,-3)&gt;=MAX(J$3,$E8),WORKDAY(EOMONTH(J$3,0)+1,-3)&lt;=IF($F8="",J$4,MIN(J$4,$F8)))*1+AND(WORKDAY(EOMONTH(J$4,0)+1,-3)&lt;&gt;WORKDAY(EOMONTH(J$3,0)+1,-3),WORKDAY(EOMONTH(J$4,0)+1,-3)&gt;=MAX(J$3,$E8),WORKDAY(EOMONTH(J$4,0)+1,-3)&lt;=IF($F8="",J$4,MIN(J$4,$F8)))*1),IF(AND(IF(EDATE($E8,MAX(0,ROUNDUP(((YEAR(J$3)-YEAR($E8))*12+MONTH(J$3)-MONTH($E8))/$G8,0)*$G8))&lt;J$3,EDATE($E8,MAX(0,ROUNDUP(((YEAR(J$3)-YEAR($E8))*12+MONTH(J$3)-MONTH($E8))/$G8,0)*$G8)+$G8),EDATE($E8,MAX(0,ROUNDUP(((YEAR(J$3)-YEAR($E8))*12+MONTH(J$3)-MONTH($E8))/$G8,0)*$G8)))&gt;=J$3,IF(EDATE($E8,MAX(0,ROUNDUP(((YEAR(J$3)-YEAR($E8))*12+MONTH(J$3)-MONTH($E8))/$G8,0)*$G8))&lt;J$3,EDATE($E8,MAX(0,ROUNDUP(((YEAR(J$3)-YEAR($E8))*12+MONTH(J$3)-MONTH($E8))/$G8,0)*$G8)+$G8),EDATE($E8,MAX(0,ROUNDUP(((YEAR(J$3)-YEAR($E8))*12+MONTH(J$3)-MONTH($E8))/$G8,0)*$G8)))&lt;=IF($F8="",J$4,MIN(J$4,$F8))),1,0)))))</f>
        <v>0</v>
      </c>
      <c r="K8" s="25" t="n">
        <f aca="false">IF(OR($C8="",$C8=0,$E8="",$B8="",$G8=-2),0,$C8*IF($G8=0,IF(IF($F8="",K$4,MIN(K$4,$F8))&lt;$E8,0,MAX(0,INT((IF($F8="",K$4,MIN(K$4,$F8))-$E8)/7)+1-MAX(0,ROUNDUP((K$3-$E8)/7,0)))),IF($G8=101,(AND(EOMONTH(K$3,0)&gt;=MAX(K$3,$E8),EOMONTH(K$3,0)&lt;=IF($F8="",K$4,MIN(K$4,$F8)))*1+AND(EOMONTH(K$4,0)&lt;&gt;EOMONTH(K$3,0),EOMONTH(K$4,0)&gt;=MAX(K$3,$E8),EOMONTH(K$4,0)&lt;=IF($F8="",K$4,MIN(K$4,$F8)))*1),IF($G8=102,(AND(WORKDAY(EOMONTH(K$3,0)+1,-3)&gt;=MAX(K$3,$E8),WORKDAY(EOMONTH(K$3,0)+1,-3)&lt;=IF($F8="",K$4,MIN(K$4,$F8)))*1+AND(WORKDAY(EOMONTH(K$4,0)+1,-3)&lt;&gt;WORKDAY(EOMONTH(K$3,0)+1,-3),WORKDAY(EOMONTH(K$4,0)+1,-3)&gt;=MAX(K$3,$E8),WORKDAY(EOMONTH(K$4,0)+1,-3)&lt;=IF($F8="",K$4,MIN(K$4,$F8)))*1),IF(AND(IF(EDATE($E8,MAX(0,ROUNDUP(((YEAR(K$3)-YEAR($E8))*12+MONTH(K$3)-MONTH($E8))/$G8,0)*$G8))&lt;K$3,EDATE($E8,MAX(0,ROUNDUP(((YEAR(K$3)-YEAR($E8))*12+MONTH(K$3)-MONTH($E8))/$G8,0)*$G8)+$G8),EDATE($E8,MAX(0,ROUNDUP(((YEAR(K$3)-YEAR($E8))*12+MONTH(K$3)-MONTH($E8))/$G8,0)*$G8)))&gt;=K$3,IF(EDATE($E8,MAX(0,ROUNDUP(((YEAR(K$3)-YEAR($E8))*12+MONTH(K$3)-MONTH($E8))/$G8,0)*$G8))&lt;K$3,EDATE($E8,MAX(0,ROUNDUP(((YEAR(K$3)-YEAR($E8))*12+MONTH(K$3)-MONTH($E8))/$G8,0)*$G8)+$G8),EDATE($E8,MAX(0,ROUNDUP(((YEAR(K$3)-YEAR($E8))*12+MONTH(K$3)-MONTH($E8))/$G8,0)*$G8)))&lt;=IF($F8="",K$4,MIN(K$4,$F8))),1,0)))))</f>
        <v>0</v>
      </c>
      <c r="L8" s="25" t="n">
        <f aca="false">IF(OR($C8="",$C8=0,$E8="",$B8="",$G8=-2),0,$C8*IF($G8=0,IF(IF($F8="",L$4,MIN(L$4,$F8))&lt;$E8,0,MAX(0,INT((IF($F8="",L$4,MIN(L$4,$F8))-$E8)/7)+1-MAX(0,ROUNDUP((L$3-$E8)/7,0)))),IF($G8=101,(AND(EOMONTH(L$3,0)&gt;=MAX(L$3,$E8),EOMONTH(L$3,0)&lt;=IF($F8="",L$4,MIN(L$4,$F8)))*1+AND(EOMONTH(L$4,0)&lt;&gt;EOMONTH(L$3,0),EOMONTH(L$4,0)&gt;=MAX(L$3,$E8),EOMONTH(L$4,0)&lt;=IF($F8="",L$4,MIN(L$4,$F8)))*1),IF($G8=102,(AND(WORKDAY(EOMONTH(L$3,0)+1,-3)&gt;=MAX(L$3,$E8),WORKDAY(EOMONTH(L$3,0)+1,-3)&lt;=IF($F8="",L$4,MIN(L$4,$F8)))*1+AND(WORKDAY(EOMONTH(L$4,0)+1,-3)&lt;&gt;WORKDAY(EOMONTH(L$3,0)+1,-3),WORKDAY(EOMONTH(L$4,0)+1,-3)&gt;=MAX(L$3,$E8),WORKDAY(EOMONTH(L$4,0)+1,-3)&lt;=IF($F8="",L$4,MIN(L$4,$F8)))*1),IF(AND(IF(EDATE($E8,MAX(0,ROUNDUP(((YEAR(L$3)-YEAR($E8))*12+MONTH(L$3)-MONTH($E8))/$G8,0)*$G8))&lt;L$3,EDATE($E8,MAX(0,ROUNDUP(((YEAR(L$3)-YEAR($E8))*12+MONTH(L$3)-MONTH($E8))/$G8,0)*$G8)+$G8),EDATE($E8,MAX(0,ROUNDUP(((YEAR(L$3)-YEAR($E8))*12+MONTH(L$3)-MONTH($E8))/$G8,0)*$G8)))&gt;=L$3,IF(EDATE($E8,MAX(0,ROUNDUP(((YEAR(L$3)-YEAR($E8))*12+MONTH(L$3)-MONTH($E8))/$G8,0)*$G8))&lt;L$3,EDATE($E8,MAX(0,ROUNDUP(((YEAR(L$3)-YEAR($E8))*12+MONTH(L$3)-MONTH($E8))/$G8,0)*$G8)+$G8),EDATE($E8,MAX(0,ROUNDUP(((YEAR(L$3)-YEAR($E8))*12+MONTH(L$3)-MONTH($E8))/$G8,0)*$G8)))&lt;=IF($F8="",L$4,MIN(L$4,$F8))),1,0)))))</f>
        <v>0</v>
      </c>
      <c r="M8" s="25" t="n">
        <f aca="false">IF(OR($C8="",$C8=0,$E8="",$B8="",$G8=-2),0,$C8*IF($G8=0,IF(IF($F8="",M$4,MIN(M$4,$F8))&lt;$E8,0,MAX(0,INT((IF($F8="",M$4,MIN(M$4,$F8))-$E8)/7)+1-MAX(0,ROUNDUP((M$3-$E8)/7,0)))),IF($G8=101,(AND(EOMONTH(M$3,0)&gt;=MAX(M$3,$E8),EOMONTH(M$3,0)&lt;=IF($F8="",M$4,MIN(M$4,$F8)))*1+AND(EOMONTH(M$4,0)&lt;&gt;EOMONTH(M$3,0),EOMONTH(M$4,0)&gt;=MAX(M$3,$E8),EOMONTH(M$4,0)&lt;=IF($F8="",M$4,MIN(M$4,$F8)))*1),IF($G8=102,(AND(WORKDAY(EOMONTH(M$3,0)+1,-3)&gt;=MAX(M$3,$E8),WORKDAY(EOMONTH(M$3,0)+1,-3)&lt;=IF($F8="",M$4,MIN(M$4,$F8)))*1+AND(WORKDAY(EOMONTH(M$4,0)+1,-3)&lt;&gt;WORKDAY(EOMONTH(M$3,0)+1,-3),WORKDAY(EOMONTH(M$4,0)+1,-3)&gt;=MAX(M$3,$E8),WORKDAY(EOMONTH(M$4,0)+1,-3)&lt;=IF($F8="",M$4,MIN(M$4,$F8)))*1),IF(AND(IF(EDATE($E8,MAX(0,ROUNDUP(((YEAR(M$3)-YEAR($E8))*12+MONTH(M$3)-MONTH($E8))/$G8,0)*$G8))&lt;M$3,EDATE($E8,MAX(0,ROUNDUP(((YEAR(M$3)-YEAR($E8))*12+MONTH(M$3)-MONTH($E8))/$G8,0)*$G8)+$G8),EDATE($E8,MAX(0,ROUNDUP(((YEAR(M$3)-YEAR($E8))*12+MONTH(M$3)-MONTH($E8))/$G8,0)*$G8)))&gt;=M$3,IF(EDATE($E8,MAX(0,ROUNDUP(((YEAR(M$3)-YEAR($E8))*12+MONTH(M$3)-MONTH($E8))/$G8,0)*$G8))&lt;M$3,EDATE($E8,MAX(0,ROUNDUP(((YEAR(M$3)-YEAR($E8))*12+MONTH(M$3)-MONTH($E8))/$G8,0)*$G8)+$G8),EDATE($E8,MAX(0,ROUNDUP(((YEAR(M$3)-YEAR($E8))*12+MONTH(M$3)-MONTH($E8))/$G8,0)*$G8)))&lt;=IF($F8="",M$4,MIN(M$4,$F8))),1,0)))))</f>
        <v>0</v>
      </c>
      <c r="N8" s="25" t="n">
        <f aca="false">IF(OR($C8="",$C8=0,$E8="",$B8="",$G8=-2),0,$C8*IF($G8=0,IF(IF($F8="",N$4,MIN(N$4,$F8))&lt;$E8,0,MAX(0,INT((IF($F8="",N$4,MIN(N$4,$F8))-$E8)/7)+1-MAX(0,ROUNDUP((N$3-$E8)/7,0)))),IF($G8=101,(AND(EOMONTH(N$3,0)&gt;=MAX(N$3,$E8),EOMONTH(N$3,0)&lt;=IF($F8="",N$4,MIN(N$4,$F8)))*1+AND(EOMONTH(N$4,0)&lt;&gt;EOMONTH(N$3,0),EOMONTH(N$4,0)&gt;=MAX(N$3,$E8),EOMONTH(N$4,0)&lt;=IF($F8="",N$4,MIN(N$4,$F8)))*1),IF($G8=102,(AND(WORKDAY(EOMONTH(N$3,0)+1,-3)&gt;=MAX(N$3,$E8),WORKDAY(EOMONTH(N$3,0)+1,-3)&lt;=IF($F8="",N$4,MIN(N$4,$F8)))*1+AND(WORKDAY(EOMONTH(N$4,0)+1,-3)&lt;&gt;WORKDAY(EOMONTH(N$3,0)+1,-3),WORKDAY(EOMONTH(N$4,0)+1,-3)&gt;=MAX(N$3,$E8),WORKDAY(EOMONTH(N$4,0)+1,-3)&lt;=IF($F8="",N$4,MIN(N$4,$F8)))*1),IF(AND(IF(EDATE($E8,MAX(0,ROUNDUP(((YEAR(N$3)-YEAR($E8))*12+MONTH(N$3)-MONTH($E8))/$G8,0)*$G8))&lt;N$3,EDATE($E8,MAX(0,ROUNDUP(((YEAR(N$3)-YEAR($E8))*12+MONTH(N$3)-MONTH($E8))/$G8,0)*$G8)+$G8),EDATE($E8,MAX(0,ROUNDUP(((YEAR(N$3)-YEAR($E8))*12+MONTH(N$3)-MONTH($E8))/$G8,0)*$G8)))&gt;=N$3,IF(EDATE($E8,MAX(0,ROUNDUP(((YEAR(N$3)-YEAR($E8))*12+MONTH(N$3)-MONTH($E8))/$G8,0)*$G8))&lt;N$3,EDATE($E8,MAX(0,ROUNDUP(((YEAR(N$3)-YEAR($E8))*12+MONTH(N$3)-MONTH($E8))/$G8,0)*$G8)+$G8),EDATE($E8,MAX(0,ROUNDUP(((YEAR(N$3)-YEAR($E8))*12+MONTH(N$3)-MONTH($E8))/$G8,0)*$G8)))&lt;=IF($F8="",N$4,MIN(N$4,$F8))),1,0)))))</f>
        <v>0</v>
      </c>
      <c r="O8" s="25" t="n">
        <f aca="false">IF(OR($C8="",$C8=0,$E8="",$B8="",$G8=-2),0,$C8*IF($G8=0,IF(IF($F8="",O$4,MIN(O$4,$F8))&lt;$E8,0,MAX(0,INT((IF($F8="",O$4,MIN(O$4,$F8))-$E8)/7)+1-MAX(0,ROUNDUP((O$3-$E8)/7,0)))),IF($G8=101,(AND(EOMONTH(O$3,0)&gt;=MAX(O$3,$E8),EOMONTH(O$3,0)&lt;=IF($F8="",O$4,MIN(O$4,$F8)))*1+AND(EOMONTH(O$4,0)&lt;&gt;EOMONTH(O$3,0),EOMONTH(O$4,0)&gt;=MAX(O$3,$E8),EOMONTH(O$4,0)&lt;=IF($F8="",O$4,MIN(O$4,$F8)))*1),IF($G8=102,(AND(WORKDAY(EOMONTH(O$3,0)+1,-3)&gt;=MAX(O$3,$E8),WORKDAY(EOMONTH(O$3,0)+1,-3)&lt;=IF($F8="",O$4,MIN(O$4,$F8)))*1+AND(WORKDAY(EOMONTH(O$4,0)+1,-3)&lt;&gt;WORKDAY(EOMONTH(O$3,0)+1,-3),WORKDAY(EOMONTH(O$4,0)+1,-3)&gt;=MAX(O$3,$E8),WORKDAY(EOMONTH(O$4,0)+1,-3)&lt;=IF($F8="",O$4,MIN(O$4,$F8)))*1),IF(AND(IF(EDATE($E8,MAX(0,ROUNDUP(((YEAR(O$3)-YEAR($E8))*12+MONTH(O$3)-MONTH($E8))/$G8,0)*$G8))&lt;O$3,EDATE($E8,MAX(0,ROUNDUP(((YEAR(O$3)-YEAR($E8))*12+MONTH(O$3)-MONTH($E8))/$G8,0)*$G8)+$G8),EDATE($E8,MAX(0,ROUNDUP(((YEAR(O$3)-YEAR($E8))*12+MONTH(O$3)-MONTH($E8))/$G8,0)*$G8)))&gt;=O$3,IF(EDATE($E8,MAX(0,ROUNDUP(((YEAR(O$3)-YEAR($E8))*12+MONTH(O$3)-MONTH($E8))/$G8,0)*$G8))&lt;O$3,EDATE($E8,MAX(0,ROUNDUP(((YEAR(O$3)-YEAR($E8))*12+MONTH(O$3)-MONTH($E8))/$G8,0)*$G8)+$G8),EDATE($E8,MAX(0,ROUNDUP(((YEAR(O$3)-YEAR($E8))*12+MONTH(O$3)-MONTH($E8))/$G8,0)*$G8)))&lt;=IF($F8="",O$4,MIN(O$4,$F8))),1,0)))))</f>
        <v>0</v>
      </c>
      <c r="P8" s="25" t="n">
        <f aca="false">IF(OR($C8="",$C8=0,$E8="",$B8="",$G8=-2),0,$C8*IF($G8=0,IF(IF($F8="",P$4,MIN(P$4,$F8))&lt;$E8,0,MAX(0,INT((IF($F8="",P$4,MIN(P$4,$F8))-$E8)/7)+1-MAX(0,ROUNDUP((P$3-$E8)/7,0)))),IF($G8=101,(AND(EOMONTH(P$3,0)&gt;=MAX(P$3,$E8),EOMONTH(P$3,0)&lt;=IF($F8="",P$4,MIN(P$4,$F8)))*1+AND(EOMONTH(P$4,0)&lt;&gt;EOMONTH(P$3,0),EOMONTH(P$4,0)&gt;=MAX(P$3,$E8),EOMONTH(P$4,0)&lt;=IF($F8="",P$4,MIN(P$4,$F8)))*1),IF($G8=102,(AND(WORKDAY(EOMONTH(P$3,0)+1,-3)&gt;=MAX(P$3,$E8),WORKDAY(EOMONTH(P$3,0)+1,-3)&lt;=IF($F8="",P$4,MIN(P$4,$F8)))*1+AND(WORKDAY(EOMONTH(P$4,0)+1,-3)&lt;&gt;WORKDAY(EOMONTH(P$3,0)+1,-3),WORKDAY(EOMONTH(P$4,0)+1,-3)&gt;=MAX(P$3,$E8),WORKDAY(EOMONTH(P$4,0)+1,-3)&lt;=IF($F8="",P$4,MIN(P$4,$F8)))*1),IF(AND(IF(EDATE($E8,MAX(0,ROUNDUP(((YEAR(P$3)-YEAR($E8))*12+MONTH(P$3)-MONTH($E8))/$G8,0)*$G8))&lt;P$3,EDATE($E8,MAX(0,ROUNDUP(((YEAR(P$3)-YEAR($E8))*12+MONTH(P$3)-MONTH($E8))/$G8,0)*$G8)+$G8),EDATE($E8,MAX(0,ROUNDUP(((YEAR(P$3)-YEAR($E8))*12+MONTH(P$3)-MONTH($E8))/$G8,0)*$G8)))&gt;=P$3,IF(EDATE($E8,MAX(0,ROUNDUP(((YEAR(P$3)-YEAR($E8))*12+MONTH(P$3)-MONTH($E8))/$G8,0)*$G8))&lt;P$3,EDATE($E8,MAX(0,ROUNDUP(((YEAR(P$3)-YEAR($E8))*12+MONTH(P$3)-MONTH($E8))/$G8,0)*$G8)+$G8),EDATE($E8,MAX(0,ROUNDUP(((YEAR(P$3)-YEAR($E8))*12+MONTH(P$3)-MONTH($E8))/$G8,0)*$G8)))&lt;=IF($F8="",P$4,MIN(P$4,$F8))),1,0)))))</f>
        <v>0</v>
      </c>
      <c r="Q8" s="25" t="n">
        <f aca="false">IF(OR($C8="",$C8=0,$E8="",$B8="",$G8=-2),0,$C8*IF($G8=0,IF(IF($F8="",Q$4,MIN(Q$4,$F8))&lt;$E8,0,MAX(0,INT((IF($F8="",Q$4,MIN(Q$4,$F8))-$E8)/7)+1-MAX(0,ROUNDUP((Q$3-$E8)/7,0)))),IF($G8=101,(AND(EOMONTH(Q$3,0)&gt;=MAX(Q$3,$E8),EOMONTH(Q$3,0)&lt;=IF($F8="",Q$4,MIN(Q$4,$F8)))*1+AND(EOMONTH(Q$4,0)&lt;&gt;EOMONTH(Q$3,0),EOMONTH(Q$4,0)&gt;=MAX(Q$3,$E8),EOMONTH(Q$4,0)&lt;=IF($F8="",Q$4,MIN(Q$4,$F8)))*1),IF($G8=102,(AND(WORKDAY(EOMONTH(Q$3,0)+1,-3)&gt;=MAX(Q$3,$E8),WORKDAY(EOMONTH(Q$3,0)+1,-3)&lt;=IF($F8="",Q$4,MIN(Q$4,$F8)))*1+AND(WORKDAY(EOMONTH(Q$4,0)+1,-3)&lt;&gt;WORKDAY(EOMONTH(Q$3,0)+1,-3),WORKDAY(EOMONTH(Q$4,0)+1,-3)&gt;=MAX(Q$3,$E8),WORKDAY(EOMONTH(Q$4,0)+1,-3)&lt;=IF($F8="",Q$4,MIN(Q$4,$F8)))*1),IF(AND(IF(EDATE($E8,MAX(0,ROUNDUP(((YEAR(Q$3)-YEAR($E8))*12+MONTH(Q$3)-MONTH($E8))/$G8,0)*$G8))&lt;Q$3,EDATE($E8,MAX(0,ROUNDUP(((YEAR(Q$3)-YEAR($E8))*12+MONTH(Q$3)-MONTH($E8))/$G8,0)*$G8)+$G8),EDATE($E8,MAX(0,ROUNDUP(((YEAR(Q$3)-YEAR($E8))*12+MONTH(Q$3)-MONTH($E8))/$G8,0)*$G8)))&gt;=Q$3,IF(EDATE($E8,MAX(0,ROUNDUP(((YEAR(Q$3)-YEAR($E8))*12+MONTH(Q$3)-MONTH($E8))/$G8,0)*$G8))&lt;Q$3,EDATE($E8,MAX(0,ROUNDUP(((YEAR(Q$3)-YEAR($E8))*12+MONTH(Q$3)-MONTH($E8))/$G8,0)*$G8)+$G8),EDATE($E8,MAX(0,ROUNDUP(((YEAR(Q$3)-YEAR($E8))*12+MONTH(Q$3)-MONTH($E8))/$G8,0)*$G8)))&lt;=IF($F8="",Q$4,MIN(Q$4,$F8))),1,0)))))</f>
        <v>0</v>
      </c>
      <c r="R8" s="25" t="n">
        <f aca="false">IF(OR($C8="",$C8=0,$E8="",$B8="",$G8=-2),0,$C8*IF($G8=0,IF(IF($F8="",R$4,MIN(R$4,$F8))&lt;$E8,0,MAX(0,INT((IF($F8="",R$4,MIN(R$4,$F8))-$E8)/7)+1-MAX(0,ROUNDUP((R$3-$E8)/7,0)))),IF($G8=101,(AND(EOMONTH(R$3,0)&gt;=MAX(R$3,$E8),EOMONTH(R$3,0)&lt;=IF($F8="",R$4,MIN(R$4,$F8)))*1+AND(EOMONTH(R$4,0)&lt;&gt;EOMONTH(R$3,0),EOMONTH(R$4,0)&gt;=MAX(R$3,$E8),EOMONTH(R$4,0)&lt;=IF($F8="",R$4,MIN(R$4,$F8)))*1),IF($G8=102,(AND(WORKDAY(EOMONTH(R$3,0)+1,-3)&gt;=MAX(R$3,$E8),WORKDAY(EOMONTH(R$3,0)+1,-3)&lt;=IF($F8="",R$4,MIN(R$4,$F8)))*1+AND(WORKDAY(EOMONTH(R$4,0)+1,-3)&lt;&gt;WORKDAY(EOMONTH(R$3,0)+1,-3),WORKDAY(EOMONTH(R$4,0)+1,-3)&gt;=MAX(R$3,$E8),WORKDAY(EOMONTH(R$4,0)+1,-3)&lt;=IF($F8="",R$4,MIN(R$4,$F8)))*1),IF(AND(IF(EDATE($E8,MAX(0,ROUNDUP(((YEAR(R$3)-YEAR($E8))*12+MONTH(R$3)-MONTH($E8))/$G8,0)*$G8))&lt;R$3,EDATE($E8,MAX(0,ROUNDUP(((YEAR(R$3)-YEAR($E8))*12+MONTH(R$3)-MONTH($E8))/$G8,0)*$G8)+$G8),EDATE($E8,MAX(0,ROUNDUP(((YEAR(R$3)-YEAR($E8))*12+MONTH(R$3)-MONTH($E8))/$G8,0)*$G8)))&gt;=R$3,IF(EDATE($E8,MAX(0,ROUNDUP(((YEAR(R$3)-YEAR($E8))*12+MONTH(R$3)-MONTH($E8))/$G8,0)*$G8))&lt;R$3,EDATE($E8,MAX(0,ROUNDUP(((YEAR(R$3)-YEAR($E8))*12+MONTH(R$3)-MONTH($E8))/$G8,0)*$G8)+$G8),EDATE($E8,MAX(0,ROUNDUP(((YEAR(R$3)-YEAR($E8))*12+MONTH(R$3)-MONTH($E8))/$G8,0)*$G8)))&lt;=IF($F8="",R$4,MIN(R$4,$F8))),1,0)))))</f>
        <v>0</v>
      </c>
      <c r="S8" s="25" t="n">
        <f aca="false">IF(OR($C8="",$C8=0,$E8="",$B8="",$G8=-2),0,$C8*IF($G8=0,IF(IF($F8="",S$4,MIN(S$4,$F8))&lt;$E8,0,MAX(0,INT((IF($F8="",S$4,MIN(S$4,$F8))-$E8)/7)+1-MAX(0,ROUNDUP((S$3-$E8)/7,0)))),IF($G8=101,(AND(EOMONTH(S$3,0)&gt;=MAX(S$3,$E8),EOMONTH(S$3,0)&lt;=IF($F8="",S$4,MIN(S$4,$F8)))*1+AND(EOMONTH(S$4,0)&lt;&gt;EOMONTH(S$3,0),EOMONTH(S$4,0)&gt;=MAX(S$3,$E8),EOMONTH(S$4,0)&lt;=IF($F8="",S$4,MIN(S$4,$F8)))*1),IF($G8=102,(AND(WORKDAY(EOMONTH(S$3,0)+1,-3)&gt;=MAX(S$3,$E8),WORKDAY(EOMONTH(S$3,0)+1,-3)&lt;=IF($F8="",S$4,MIN(S$4,$F8)))*1+AND(WORKDAY(EOMONTH(S$4,0)+1,-3)&lt;&gt;WORKDAY(EOMONTH(S$3,0)+1,-3),WORKDAY(EOMONTH(S$4,0)+1,-3)&gt;=MAX(S$3,$E8),WORKDAY(EOMONTH(S$4,0)+1,-3)&lt;=IF($F8="",S$4,MIN(S$4,$F8)))*1),IF(AND(IF(EDATE($E8,MAX(0,ROUNDUP(((YEAR(S$3)-YEAR($E8))*12+MONTH(S$3)-MONTH($E8))/$G8,0)*$G8))&lt;S$3,EDATE($E8,MAX(0,ROUNDUP(((YEAR(S$3)-YEAR($E8))*12+MONTH(S$3)-MONTH($E8))/$G8,0)*$G8)+$G8),EDATE($E8,MAX(0,ROUNDUP(((YEAR(S$3)-YEAR($E8))*12+MONTH(S$3)-MONTH($E8))/$G8,0)*$G8)))&gt;=S$3,IF(EDATE($E8,MAX(0,ROUNDUP(((YEAR(S$3)-YEAR($E8))*12+MONTH(S$3)-MONTH($E8))/$G8,0)*$G8))&lt;S$3,EDATE($E8,MAX(0,ROUNDUP(((YEAR(S$3)-YEAR($E8))*12+MONTH(S$3)-MONTH($E8))/$G8,0)*$G8)+$G8),EDATE($E8,MAX(0,ROUNDUP(((YEAR(S$3)-YEAR($E8))*12+MONTH(S$3)-MONTH($E8))/$G8,0)*$G8)))&lt;=IF($F8="",S$4,MIN(S$4,$F8))),1,0)))))</f>
        <v>0</v>
      </c>
      <c r="T8" s="25" t="n">
        <f aca="false">IF(OR($C8="",$C8=0,$E8="",$B8="",$G8=-2),0,$C8*IF($G8=0,IF(IF($F8="",T$4,MIN(T$4,$F8))&lt;$E8,0,MAX(0,INT((IF($F8="",T$4,MIN(T$4,$F8))-$E8)/7)+1-MAX(0,ROUNDUP((T$3-$E8)/7,0)))),IF($G8=101,(AND(EOMONTH(T$3,0)&gt;=MAX(T$3,$E8),EOMONTH(T$3,0)&lt;=IF($F8="",T$4,MIN(T$4,$F8)))*1+AND(EOMONTH(T$4,0)&lt;&gt;EOMONTH(T$3,0),EOMONTH(T$4,0)&gt;=MAX(T$3,$E8),EOMONTH(T$4,0)&lt;=IF($F8="",T$4,MIN(T$4,$F8)))*1),IF($G8=102,(AND(WORKDAY(EOMONTH(T$3,0)+1,-3)&gt;=MAX(T$3,$E8),WORKDAY(EOMONTH(T$3,0)+1,-3)&lt;=IF($F8="",T$4,MIN(T$4,$F8)))*1+AND(WORKDAY(EOMONTH(T$4,0)+1,-3)&lt;&gt;WORKDAY(EOMONTH(T$3,0)+1,-3),WORKDAY(EOMONTH(T$4,0)+1,-3)&gt;=MAX(T$3,$E8),WORKDAY(EOMONTH(T$4,0)+1,-3)&lt;=IF($F8="",T$4,MIN(T$4,$F8)))*1),IF(AND(IF(EDATE($E8,MAX(0,ROUNDUP(((YEAR(T$3)-YEAR($E8))*12+MONTH(T$3)-MONTH($E8))/$G8,0)*$G8))&lt;T$3,EDATE($E8,MAX(0,ROUNDUP(((YEAR(T$3)-YEAR($E8))*12+MONTH(T$3)-MONTH($E8))/$G8,0)*$G8)+$G8),EDATE($E8,MAX(0,ROUNDUP(((YEAR(T$3)-YEAR($E8))*12+MONTH(T$3)-MONTH($E8))/$G8,0)*$G8)))&gt;=T$3,IF(EDATE($E8,MAX(0,ROUNDUP(((YEAR(T$3)-YEAR($E8))*12+MONTH(T$3)-MONTH($E8))/$G8,0)*$G8))&lt;T$3,EDATE($E8,MAX(0,ROUNDUP(((YEAR(T$3)-YEAR($E8))*12+MONTH(T$3)-MONTH($E8))/$G8,0)*$G8)+$G8),EDATE($E8,MAX(0,ROUNDUP(((YEAR(T$3)-YEAR($E8))*12+MONTH(T$3)-MONTH($E8))/$G8,0)*$G8)))&lt;=IF($F8="",T$4,MIN(T$4,$F8))),1,0)))))</f>
        <v>0</v>
      </c>
      <c r="U8" s="25" t="n">
        <f aca="false">IF(OR($C8="",$C8=0,$E8="",$B8="",$G8=-2),0,$C8*IF($G8=0,IF(IF($F8="",U$4,MIN(U$4,$F8))&lt;$E8,0,MAX(0,INT((IF($F8="",U$4,MIN(U$4,$F8))-$E8)/7)+1-MAX(0,ROUNDUP((U$3-$E8)/7,0)))),IF($G8=101,(AND(EOMONTH(U$3,0)&gt;=MAX(U$3,$E8),EOMONTH(U$3,0)&lt;=IF($F8="",U$4,MIN(U$4,$F8)))*1+AND(EOMONTH(U$4,0)&lt;&gt;EOMONTH(U$3,0),EOMONTH(U$4,0)&gt;=MAX(U$3,$E8),EOMONTH(U$4,0)&lt;=IF($F8="",U$4,MIN(U$4,$F8)))*1),IF($G8=102,(AND(WORKDAY(EOMONTH(U$3,0)+1,-3)&gt;=MAX(U$3,$E8),WORKDAY(EOMONTH(U$3,0)+1,-3)&lt;=IF($F8="",U$4,MIN(U$4,$F8)))*1+AND(WORKDAY(EOMONTH(U$4,0)+1,-3)&lt;&gt;WORKDAY(EOMONTH(U$3,0)+1,-3),WORKDAY(EOMONTH(U$4,0)+1,-3)&gt;=MAX(U$3,$E8),WORKDAY(EOMONTH(U$4,0)+1,-3)&lt;=IF($F8="",U$4,MIN(U$4,$F8)))*1),IF(AND(IF(EDATE($E8,MAX(0,ROUNDUP(((YEAR(U$3)-YEAR($E8))*12+MONTH(U$3)-MONTH($E8))/$G8,0)*$G8))&lt;U$3,EDATE($E8,MAX(0,ROUNDUP(((YEAR(U$3)-YEAR($E8))*12+MONTH(U$3)-MONTH($E8))/$G8,0)*$G8)+$G8),EDATE($E8,MAX(0,ROUNDUP(((YEAR(U$3)-YEAR($E8))*12+MONTH(U$3)-MONTH($E8))/$G8,0)*$G8)))&gt;=U$3,IF(EDATE($E8,MAX(0,ROUNDUP(((YEAR(U$3)-YEAR($E8))*12+MONTH(U$3)-MONTH($E8))/$G8,0)*$G8))&lt;U$3,EDATE($E8,MAX(0,ROUNDUP(((YEAR(U$3)-YEAR($E8))*12+MONTH(U$3)-MONTH($E8))/$G8,0)*$G8)+$G8),EDATE($E8,MAX(0,ROUNDUP(((YEAR(U$3)-YEAR($E8))*12+MONTH(U$3)-MONTH($E8))/$G8,0)*$G8)))&lt;=IF($F8="",U$4,MIN(U$4,$F8))),1,0)))))</f>
        <v>0</v>
      </c>
      <c r="V8" s="25" t="n">
        <f aca="false">IF(OR($C8="",$C8=0,$E8="",$B8="",$G8=-2),0,$C8*IF($G8=0,IF(IF($F8="",V$4,MIN(V$4,$F8))&lt;$E8,0,MAX(0,INT((IF($F8="",V$4,MIN(V$4,$F8))-$E8)/7)+1-MAX(0,ROUNDUP((V$3-$E8)/7,0)))),IF($G8=101,(AND(EOMONTH(V$3,0)&gt;=MAX(V$3,$E8),EOMONTH(V$3,0)&lt;=IF($F8="",V$4,MIN(V$4,$F8)))*1+AND(EOMONTH(V$4,0)&lt;&gt;EOMONTH(V$3,0),EOMONTH(V$4,0)&gt;=MAX(V$3,$E8),EOMONTH(V$4,0)&lt;=IF($F8="",V$4,MIN(V$4,$F8)))*1),IF($G8=102,(AND(WORKDAY(EOMONTH(V$3,0)+1,-3)&gt;=MAX(V$3,$E8),WORKDAY(EOMONTH(V$3,0)+1,-3)&lt;=IF($F8="",V$4,MIN(V$4,$F8)))*1+AND(WORKDAY(EOMONTH(V$4,0)+1,-3)&lt;&gt;WORKDAY(EOMONTH(V$3,0)+1,-3),WORKDAY(EOMONTH(V$4,0)+1,-3)&gt;=MAX(V$3,$E8),WORKDAY(EOMONTH(V$4,0)+1,-3)&lt;=IF($F8="",V$4,MIN(V$4,$F8)))*1),IF(AND(IF(EDATE($E8,MAX(0,ROUNDUP(((YEAR(V$3)-YEAR($E8))*12+MONTH(V$3)-MONTH($E8))/$G8,0)*$G8))&lt;V$3,EDATE($E8,MAX(0,ROUNDUP(((YEAR(V$3)-YEAR($E8))*12+MONTH(V$3)-MONTH($E8))/$G8,0)*$G8)+$G8),EDATE($E8,MAX(0,ROUNDUP(((YEAR(V$3)-YEAR($E8))*12+MONTH(V$3)-MONTH($E8))/$G8,0)*$G8)))&gt;=V$3,IF(EDATE($E8,MAX(0,ROUNDUP(((YEAR(V$3)-YEAR($E8))*12+MONTH(V$3)-MONTH($E8))/$G8,0)*$G8))&lt;V$3,EDATE($E8,MAX(0,ROUNDUP(((YEAR(V$3)-YEAR($E8))*12+MONTH(V$3)-MONTH($E8))/$G8,0)*$G8)+$G8),EDATE($E8,MAX(0,ROUNDUP(((YEAR(V$3)-YEAR($E8))*12+MONTH(V$3)-MONTH($E8))/$G8,0)*$G8)))&lt;=IF($F8="",V$4,MIN(V$4,$F8))),1,0)))))</f>
        <v>0</v>
      </c>
      <c r="W8" s="25" t="n">
        <f aca="false">IF(OR($C8="",$C8=0,$E8="",$B8="",$G8=-2),0,$C8*IF($G8=0,IF(IF($F8="",W$4,MIN(W$4,$F8))&lt;$E8,0,MAX(0,INT((IF($F8="",W$4,MIN(W$4,$F8))-$E8)/7)+1-MAX(0,ROUNDUP((W$3-$E8)/7,0)))),IF($G8=101,(AND(EOMONTH(W$3,0)&gt;=MAX(W$3,$E8),EOMONTH(W$3,0)&lt;=IF($F8="",W$4,MIN(W$4,$F8)))*1+AND(EOMONTH(W$4,0)&lt;&gt;EOMONTH(W$3,0),EOMONTH(W$4,0)&gt;=MAX(W$3,$E8),EOMONTH(W$4,0)&lt;=IF($F8="",W$4,MIN(W$4,$F8)))*1),IF($G8=102,(AND(WORKDAY(EOMONTH(W$3,0)+1,-3)&gt;=MAX(W$3,$E8),WORKDAY(EOMONTH(W$3,0)+1,-3)&lt;=IF($F8="",W$4,MIN(W$4,$F8)))*1+AND(WORKDAY(EOMONTH(W$4,0)+1,-3)&lt;&gt;WORKDAY(EOMONTH(W$3,0)+1,-3),WORKDAY(EOMONTH(W$4,0)+1,-3)&gt;=MAX(W$3,$E8),WORKDAY(EOMONTH(W$4,0)+1,-3)&lt;=IF($F8="",W$4,MIN(W$4,$F8)))*1),IF(AND(IF(EDATE($E8,MAX(0,ROUNDUP(((YEAR(W$3)-YEAR($E8))*12+MONTH(W$3)-MONTH($E8))/$G8,0)*$G8))&lt;W$3,EDATE($E8,MAX(0,ROUNDUP(((YEAR(W$3)-YEAR($E8))*12+MONTH(W$3)-MONTH($E8))/$G8,0)*$G8)+$G8),EDATE($E8,MAX(0,ROUNDUP(((YEAR(W$3)-YEAR($E8))*12+MONTH(W$3)-MONTH($E8))/$G8,0)*$G8)))&gt;=W$3,IF(EDATE($E8,MAX(0,ROUNDUP(((YEAR(W$3)-YEAR($E8))*12+MONTH(W$3)-MONTH($E8))/$G8,0)*$G8))&lt;W$3,EDATE($E8,MAX(0,ROUNDUP(((YEAR(W$3)-YEAR($E8))*12+MONTH(W$3)-MONTH($E8))/$G8,0)*$G8)+$G8),EDATE($E8,MAX(0,ROUNDUP(((YEAR(W$3)-YEAR($E8))*12+MONTH(W$3)-MONTH($E8))/$G8,0)*$G8)))&lt;=IF($F8="",W$4,MIN(W$4,$F8))),1,0)))))</f>
        <v>0</v>
      </c>
      <c r="X8" s="25" t="n">
        <f aca="false">IF(OR($C8="",$C8=0,$E8="",$B8="",$G8=-2),0,$C8*IF($G8=0,IF(IF($F8="",X$4,MIN(X$4,$F8))&lt;$E8,0,MAX(0,INT((IF($F8="",X$4,MIN(X$4,$F8))-$E8)/7)+1-MAX(0,ROUNDUP((X$3-$E8)/7,0)))),IF($G8=101,(AND(EOMONTH(X$3,0)&gt;=MAX(X$3,$E8),EOMONTH(X$3,0)&lt;=IF($F8="",X$4,MIN(X$4,$F8)))*1+AND(EOMONTH(X$4,0)&lt;&gt;EOMONTH(X$3,0),EOMONTH(X$4,0)&gt;=MAX(X$3,$E8),EOMONTH(X$4,0)&lt;=IF($F8="",X$4,MIN(X$4,$F8)))*1),IF($G8=102,(AND(WORKDAY(EOMONTH(X$3,0)+1,-3)&gt;=MAX(X$3,$E8),WORKDAY(EOMONTH(X$3,0)+1,-3)&lt;=IF($F8="",X$4,MIN(X$4,$F8)))*1+AND(WORKDAY(EOMONTH(X$4,0)+1,-3)&lt;&gt;WORKDAY(EOMONTH(X$3,0)+1,-3),WORKDAY(EOMONTH(X$4,0)+1,-3)&gt;=MAX(X$3,$E8),WORKDAY(EOMONTH(X$4,0)+1,-3)&lt;=IF($F8="",X$4,MIN(X$4,$F8)))*1),IF(AND(IF(EDATE($E8,MAX(0,ROUNDUP(((YEAR(X$3)-YEAR($E8))*12+MONTH(X$3)-MONTH($E8))/$G8,0)*$G8))&lt;X$3,EDATE($E8,MAX(0,ROUNDUP(((YEAR(X$3)-YEAR($E8))*12+MONTH(X$3)-MONTH($E8))/$G8,0)*$G8)+$G8),EDATE($E8,MAX(0,ROUNDUP(((YEAR(X$3)-YEAR($E8))*12+MONTH(X$3)-MONTH($E8))/$G8,0)*$G8)))&gt;=X$3,IF(EDATE($E8,MAX(0,ROUNDUP(((YEAR(X$3)-YEAR($E8))*12+MONTH(X$3)-MONTH($E8))/$G8,0)*$G8))&lt;X$3,EDATE($E8,MAX(0,ROUNDUP(((YEAR(X$3)-YEAR($E8))*12+MONTH(X$3)-MONTH($E8))/$G8,0)*$G8)+$G8),EDATE($E8,MAX(0,ROUNDUP(((YEAR(X$3)-YEAR($E8))*12+MONTH(X$3)-MONTH($E8))/$G8,0)*$G8)))&lt;=IF($F8="",X$4,MIN(X$4,$F8))),1,0)))))</f>
        <v>0</v>
      </c>
      <c r="Y8" s="25" t="n">
        <f aca="false">IF(OR($C8="",$C8=0,$E8="",$B8="",$G8=-2),0,$C8*IF($G8=0,IF(IF($F8="",Y$4,MIN(Y$4,$F8))&lt;$E8,0,MAX(0,INT((IF($F8="",Y$4,MIN(Y$4,$F8))-$E8)/7)+1-MAX(0,ROUNDUP((Y$3-$E8)/7,0)))),IF($G8=101,(AND(EOMONTH(Y$3,0)&gt;=MAX(Y$3,$E8),EOMONTH(Y$3,0)&lt;=IF($F8="",Y$4,MIN(Y$4,$F8)))*1+AND(EOMONTH(Y$4,0)&lt;&gt;EOMONTH(Y$3,0),EOMONTH(Y$4,0)&gt;=MAX(Y$3,$E8),EOMONTH(Y$4,0)&lt;=IF($F8="",Y$4,MIN(Y$4,$F8)))*1),IF($G8=102,(AND(WORKDAY(EOMONTH(Y$3,0)+1,-3)&gt;=MAX(Y$3,$E8),WORKDAY(EOMONTH(Y$3,0)+1,-3)&lt;=IF($F8="",Y$4,MIN(Y$4,$F8)))*1+AND(WORKDAY(EOMONTH(Y$4,0)+1,-3)&lt;&gt;WORKDAY(EOMONTH(Y$3,0)+1,-3),WORKDAY(EOMONTH(Y$4,0)+1,-3)&gt;=MAX(Y$3,$E8),WORKDAY(EOMONTH(Y$4,0)+1,-3)&lt;=IF($F8="",Y$4,MIN(Y$4,$F8)))*1),IF(AND(IF(EDATE($E8,MAX(0,ROUNDUP(((YEAR(Y$3)-YEAR($E8))*12+MONTH(Y$3)-MONTH($E8))/$G8,0)*$G8))&lt;Y$3,EDATE($E8,MAX(0,ROUNDUP(((YEAR(Y$3)-YEAR($E8))*12+MONTH(Y$3)-MONTH($E8))/$G8,0)*$G8)+$G8),EDATE($E8,MAX(0,ROUNDUP(((YEAR(Y$3)-YEAR($E8))*12+MONTH(Y$3)-MONTH($E8))/$G8,0)*$G8)))&gt;=Y$3,IF(EDATE($E8,MAX(0,ROUNDUP(((YEAR(Y$3)-YEAR($E8))*12+MONTH(Y$3)-MONTH($E8))/$G8,0)*$G8))&lt;Y$3,EDATE($E8,MAX(0,ROUNDUP(((YEAR(Y$3)-YEAR($E8))*12+MONTH(Y$3)-MONTH($E8))/$G8,0)*$G8)+$G8),EDATE($E8,MAX(0,ROUNDUP(((YEAR(Y$3)-YEAR($E8))*12+MONTH(Y$3)-MONTH($E8))/$G8,0)*$G8)))&lt;=IF($F8="",Y$4,MIN(Y$4,$F8))),1,0)))))</f>
        <v>0</v>
      </c>
      <c r="Z8" s="25" t="n">
        <f aca="false">IF(OR($C8="",$C8=0,$E8="",$B8="",$G8=-2),0,$C8*IF($G8=0,IF(IF($F8="",Z$4,MIN(Z$4,$F8))&lt;$E8,0,MAX(0,INT((IF($F8="",Z$4,MIN(Z$4,$F8))-$E8)/7)+1-MAX(0,ROUNDUP((Z$3-$E8)/7,0)))),IF($G8=101,(AND(EOMONTH(Z$3,0)&gt;=MAX(Z$3,$E8),EOMONTH(Z$3,0)&lt;=IF($F8="",Z$4,MIN(Z$4,$F8)))*1+AND(EOMONTH(Z$4,0)&lt;&gt;EOMONTH(Z$3,0),EOMONTH(Z$4,0)&gt;=MAX(Z$3,$E8),EOMONTH(Z$4,0)&lt;=IF($F8="",Z$4,MIN(Z$4,$F8)))*1),IF($G8=102,(AND(WORKDAY(EOMONTH(Z$3,0)+1,-3)&gt;=MAX(Z$3,$E8),WORKDAY(EOMONTH(Z$3,0)+1,-3)&lt;=IF($F8="",Z$4,MIN(Z$4,$F8)))*1+AND(WORKDAY(EOMONTH(Z$4,0)+1,-3)&lt;&gt;WORKDAY(EOMONTH(Z$3,0)+1,-3),WORKDAY(EOMONTH(Z$4,0)+1,-3)&gt;=MAX(Z$3,$E8),WORKDAY(EOMONTH(Z$4,0)+1,-3)&lt;=IF($F8="",Z$4,MIN(Z$4,$F8)))*1),IF(AND(IF(EDATE($E8,MAX(0,ROUNDUP(((YEAR(Z$3)-YEAR($E8))*12+MONTH(Z$3)-MONTH($E8))/$G8,0)*$G8))&lt;Z$3,EDATE($E8,MAX(0,ROUNDUP(((YEAR(Z$3)-YEAR($E8))*12+MONTH(Z$3)-MONTH($E8))/$G8,0)*$G8)+$G8),EDATE($E8,MAX(0,ROUNDUP(((YEAR(Z$3)-YEAR($E8))*12+MONTH(Z$3)-MONTH($E8))/$G8,0)*$G8)))&gt;=Z$3,IF(EDATE($E8,MAX(0,ROUNDUP(((YEAR(Z$3)-YEAR($E8))*12+MONTH(Z$3)-MONTH($E8))/$G8,0)*$G8))&lt;Z$3,EDATE($E8,MAX(0,ROUNDUP(((YEAR(Z$3)-YEAR($E8))*12+MONTH(Z$3)-MONTH($E8))/$G8,0)*$G8)+$G8),EDATE($E8,MAX(0,ROUNDUP(((YEAR(Z$3)-YEAR($E8))*12+MONTH(Z$3)-MONTH($E8))/$G8,0)*$G8)))&lt;=IF($F8="",Z$4,MIN(Z$4,$F8))),1,0)))))</f>
        <v>0</v>
      </c>
      <c r="AA8" s="25" t="n">
        <f aca="false">IF(OR($C8="",$C8=0,$E8="",$B8="",$G8=-2),0,$C8*IF($G8=0,IF(IF($F8="",AA$4,MIN(AA$4,$F8))&lt;$E8,0,MAX(0,INT((IF($F8="",AA$4,MIN(AA$4,$F8))-$E8)/7)+1-MAX(0,ROUNDUP((AA$3-$E8)/7,0)))),IF($G8=101,(AND(EOMONTH(AA$3,0)&gt;=MAX(AA$3,$E8),EOMONTH(AA$3,0)&lt;=IF($F8="",AA$4,MIN(AA$4,$F8)))*1+AND(EOMONTH(AA$4,0)&lt;&gt;EOMONTH(AA$3,0),EOMONTH(AA$4,0)&gt;=MAX(AA$3,$E8),EOMONTH(AA$4,0)&lt;=IF($F8="",AA$4,MIN(AA$4,$F8)))*1),IF($G8=102,(AND(WORKDAY(EOMONTH(AA$3,0)+1,-3)&gt;=MAX(AA$3,$E8),WORKDAY(EOMONTH(AA$3,0)+1,-3)&lt;=IF($F8="",AA$4,MIN(AA$4,$F8)))*1+AND(WORKDAY(EOMONTH(AA$4,0)+1,-3)&lt;&gt;WORKDAY(EOMONTH(AA$3,0)+1,-3),WORKDAY(EOMONTH(AA$4,0)+1,-3)&gt;=MAX(AA$3,$E8),WORKDAY(EOMONTH(AA$4,0)+1,-3)&lt;=IF($F8="",AA$4,MIN(AA$4,$F8)))*1),IF(AND(IF(EDATE($E8,MAX(0,ROUNDUP(((YEAR(AA$3)-YEAR($E8))*12+MONTH(AA$3)-MONTH($E8))/$G8,0)*$G8))&lt;AA$3,EDATE($E8,MAX(0,ROUNDUP(((YEAR(AA$3)-YEAR($E8))*12+MONTH(AA$3)-MONTH($E8))/$G8,0)*$G8)+$G8),EDATE($E8,MAX(0,ROUNDUP(((YEAR(AA$3)-YEAR($E8))*12+MONTH(AA$3)-MONTH($E8))/$G8,0)*$G8)))&gt;=AA$3,IF(EDATE($E8,MAX(0,ROUNDUP(((YEAR(AA$3)-YEAR($E8))*12+MONTH(AA$3)-MONTH($E8))/$G8,0)*$G8))&lt;AA$3,EDATE($E8,MAX(0,ROUNDUP(((YEAR(AA$3)-YEAR($E8))*12+MONTH(AA$3)-MONTH($E8))/$G8,0)*$G8)+$G8),EDATE($E8,MAX(0,ROUNDUP(((YEAR(AA$3)-YEAR($E8))*12+MONTH(AA$3)-MONTH($E8))/$G8,0)*$G8)))&lt;=IF($F8="",AA$4,MIN(AA$4,$F8))),1,0)))))</f>
        <v>0</v>
      </c>
      <c r="AB8" s="25" t="n">
        <f aca="false">IF(OR($C8="",$C8=0,$E8="",$B8="",$G8=-2),0,$C8*IF($G8=0,IF(IF($F8="",AB$4,MIN(AB$4,$F8))&lt;$E8,0,MAX(0,INT((IF($F8="",AB$4,MIN(AB$4,$F8))-$E8)/7)+1-MAX(0,ROUNDUP((AB$3-$E8)/7,0)))),IF($G8=101,(AND(EOMONTH(AB$3,0)&gt;=MAX(AB$3,$E8),EOMONTH(AB$3,0)&lt;=IF($F8="",AB$4,MIN(AB$4,$F8)))*1+AND(EOMONTH(AB$4,0)&lt;&gt;EOMONTH(AB$3,0),EOMONTH(AB$4,0)&gt;=MAX(AB$3,$E8),EOMONTH(AB$4,0)&lt;=IF($F8="",AB$4,MIN(AB$4,$F8)))*1),IF($G8=102,(AND(WORKDAY(EOMONTH(AB$3,0)+1,-3)&gt;=MAX(AB$3,$E8),WORKDAY(EOMONTH(AB$3,0)+1,-3)&lt;=IF($F8="",AB$4,MIN(AB$4,$F8)))*1+AND(WORKDAY(EOMONTH(AB$4,0)+1,-3)&lt;&gt;WORKDAY(EOMONTH(AB$3,0)+1,-3),WORKDAY(EOMONTH(AB$4,0)+1,-3)&gt;=MAX(AB$3,$E8),WORKDAY(EOMONTH(AB$4,0)+1,-3)&lt;=IF($F8="",AB$4,MIN(AB$4,$F8)))*1),IF(AND(IF(EDATE($E8,MAX(0,ROUNDUP(((YEAR(AB$3)-YEAR($E8))*12+MONTH(AB$3)-MONTH($E8))/$G8,0)*$G8))&lt;AB$3,EDATE($E8,MAX(0,ROUNDUP(((YEAR(AB$3)-YEAR($E8))*12+MONTH(AB$3)-MONTH($E8))/$G8,0)*$G8)+$G8),EDATE($E8,MAX(0,ROUNDUP(((YEAR(AB$3)-YEAR($E8))*12+MONTH(AB$3)-MONTH($E8))/$G8,0)*$G8)))&gt;=AB$3,IF(EDATE($E8,MAX(0,ROUNDUP(((YEAR(AB$3)-YEAR($E8))*12+MONTH(AB$3)-MONTH($E8))/$G8,0)*$G8))&lt;AB$3,EDATE($E8,MAX(0,ROUNDUP(((YEAR(AB$3)-YEAR($E8))*12+MONTH(AB$3)-MONTH($E8))/$G8,0)*$G8)+$G8),EDATE($E8,MAX(0,ROUNDUP(((YEAR(AB$3)-YEAR($E8))*12+MONTH(AB$3)-MONTH($E8))/$G8,0)*$G8)))&lt;=IF($F8="",AB$4,MIN(AB$4,$F8))),1,0)))))</f>
        <v>0</v>
      </c>
      <c r="AC8" s="25" t="n">
        <f aca="false">IF(OR($C8="",$C8=0,$E8="",$B8="",$G8=-2),0,$C8*IF($G8=0,IF(IF($F8="",AC$4,MIN(AC$4,$F8))&lt;$E8,0,MAX(0,INT((IF($F8="",AC$4,MIN(AC$4,$F8))-$E8)/7)+1-MAX(0,ROUNDUP((AC$3-$E8)/7,0)))),IF($G8=101,(AND(EOMONTH(AC$3,0)&gt;=MAX(AC$3,$E8),EOMONTH(AC$3,0)&lt;=IF($F8="",AC$4,MIN(AC$4,$F8)))*1+AND(EOMONTH(AC$4,0)&lt;&gt;EOMONTH(AC$3,0),EOMONTH(AC$4,0)&gt;=MAX(AC$3,$E8),EOMONTH(AC$4,0)&lt;=IF($F8="",AC$4,MIN(AC$4,$F8)))*1),IF($G8=102,(AND(WORKDAY(EOMONTH(AC$3,0)+1,-3)&gt;=MAX(AC$3,$E8),WORKDAY(EOMONTH(AC$3,0)+1,-3)&lt;=IF($F8="",AC$4,MIN(AC$4,$F8)))*1+AND(WORKDAY(EOMONTH(AC$4,0)+1,-3)&lt;&gt;WORKDAY(EOMONTH(AC$3,0)+1,-3),WORKDAY(EOMONTH(AC$4,0)+1,-3)&gt;=MAX(AC$3,$E8),WORKDAY(EOMONTH(AC$4,0)+1,-3)&lt;=IF($F8="",AC$4,MIN(AC$4,$F8)))*1),IF(AND(IF(EDATE($E8,MAX(0,ROUNDUP(((YEAR(AC$3)-YEAR($E8))*12+MONTH(AC$3)-MONTH($E8))/$G8,0)*$G8))&lt;AC$3,EDATE($E8,MAX(0,ROUNDUP(((YEAR(AC$3)-YEAR($E8))*12+MONTH(AC$3)-MONTH($E8))/$G8,0)*$G8)+$G8),EDATE($E8,MAX(0,ROUNDUP(((YEAR(AC$3)-YEAR($E8))*12+MONTH(AC$3)-MONTH($E8))/$G8,0)*$G8)))&gt;=AC$3,IF(EDATE($E8,MAX(0,ROUNDUP(((YEAR(AC$3)-YEAR($E8))*12+MONTH(AC$3)-MONTH($E8))/$G8,0)*$G8))&lt;AC$3,EDATE($E8,MAX(0,ROUNDUP(((YEAR(AC$3)-YEAR($E8))*12+MONTH(AC$3)-MONTH($E8))/$G8,0)*$G8)+$G8),EDATE($E8,MAX(0,ROUNDUP(((YEAR(AC$3)-YEAR($E8))*12+MONTH(AC$3)-MONTH($E8))/$G8,0)*$G8)))&lt;=IF($F8="",AC$4,MIN(AC$4,$F8))),1,0)))))</f>
        <v>0</v>
      </c>
      <c r="AD8" s="25" t="n">
        <f aca="false">IF(OR($C8="",$C8=0,$E8="",$B8="",$G8=-2),0,$C8*IF($G8=0,IF(IF($F8="",AD$4,MIN(AD$4,$F8))&lt;$E8,0,MAX(0,INT((IF($F8="",AD$4,MIN(AD$4,$F8))-$E8)/7)+1-MAX(0,ROUNDUP((AD$3-$E8)/7,0)))),IF($G8=101,(AND(EOMONTH(AD$3,0)&gt;=MAX(AD$3,$E8),EOMONTH(AD$3,0)&lt;=IF($F8="",AD$4,MIN(AD$4,$F8)))*1+AND(EOMONTH(AD$4,0)&lt;&gt;EOMONTH(AD$3,0),EOMONTH(AD$4,0)&gt;=MAX(AD$3,$E8),EOMONTH(AD$4,0)&lt;=IF($F8="",AD$4,MIN(AD$4,$F8)))*1),IF($G8=102,(AND(WORKDAY(EOMONTH(AD$3,0)+1,-3)&gt;=MAX(AD$3,$E8),WORKDAY(EOMONTH(AD$3,0)+1,-3)&lt;=IF($F8="",AD$4,MIN(AD$4,$F8)))*1+AND(WORKDAY(EOMONTH(AD$4,0)+1,-3)&lt;&gt;WORKDAY(EOMONTH(AD$3,0)+1,-3),WORKDAY(EOMONTH(AD$4,0)+1,-3)&gt;=MAX(AD$3,$E8),WORKDAY(EOMONTH(AD$4,0)+1,-3)&lt;=IF($F8="",AD$4,MIN(AD$4,$F8)))*1),IF(AND(IF(EDATE($E8,MAX(0,ROUNDUP(((YEAR(AD$3)-YEAR($E8))*12+MONTH(AD$3)-MONTH($E8))/$G8,0)*$G8))&lt;AD$3,EDATE($E8,MAX(0,ROUNDUP(((YEAR(AD$3)-YEAR($E8))*12+MONTH(AD$3)-MONTH($E8))/$G8,0)*$G8)+$G8),EDATE($E8,MAX(0,ROUNDUP(((YEAR(AD$3)-YEAR($E8))*12+MONTH(AD$3)-MONTH($E8))/$G8,0)*$G8)))&gt;=AD$3,IF(EDATE($E8,MAX(0,ROUNDUP(((YEAR(AD$3)-YEAR($E8))*12+MONTH(AD$3)-MONTH($E8))/$G8,0)*$G8))&lt;AD$3,EDATE($E8,MAX(0,ROUNDUP(((YEAR(AD$3)-YEAR($E8))*12+MONTH(AD$3)-MONTH($E8))/$G8,0)*$G8)+$G8),EDATE($E8,MAX(0,ROUNDUP(((YEAR(AD$3)-YEAR($E8))*12+MONTH(AD$3)-MONTH($E8))/$G8,0)*$G8)))&lt;=IF($F8="",AD$4,MIN(AD$4,$F8))),1,0)))))</f>
        <v>0</v>
      </c>
      <c r="AE8" s="25" t="n">
        <f aca="false">IF(OR($C8="",$C8=0,$E8="",$B8="",$G8=-2),0,$C8*IF($G8=0,IF(IF($F8="",AE$4,MIN(AE$4,$F8))&lt;$E8,0,MAX(0,INT((IF($F8="",AE$4,MIN(AE$4,$F8))-$E8)/7)+1-MAX(0,ROUNDUP((AE$3-$E8)/7,0)))),IF($G8=101,(AND(EOMONTH(AE$3,0)&gt;=MAX(AE$3,$E8),EOMONTH(AE$3,0)&lt;=IF($F8="",AE$4,MIN(AE$4,$F8)))*1+AND(EOMONTH(AE$4,0)&lt;&gt;EOMONTH(AE$3,0),EOMONTH(AE$4,0)&gt;=MAX(AE$3,$E8),EOMONTH(AE$4,0)&lt;=IF($F8="",AE$4,MIN(AE$4,$F8)))*1),IF($G8=102,(AND(WORKDAY(EOMONTH(AE$3,0)+1,-3)&gt;=MAX(AE$3,$E8),WORKDAY(EOMONTH(AE$3,0)+1,-3)&lt;=IF($F8="",AE$4,MIN(AE$4,$F8)))*1+AND(WORKDAY(EOMONTH(AE$4,0)+1,-3)&lt;&gt;WORKDAY(EOMONTH(AE$3,0)+1,-3),WORKDAY(EOMONTH(AE$4,0)+1,-3)&gt;=MAX(AE$3,$E8),WORKDAY(EOMONTH(AE$4,0)+1,-3)&lt;=IF($F8="",AE$4,MIN(AE$4,$F8)))*1),IF(AND(IF(EDATE($E8,MAX(0,ROUNDUP(((YEAR(AE$3)-YEAR($E8))*12+MONTH(AE$3)-MONTH($E8))/$G8,0)*$G8))&lt;AE$3,EDATE($E8,MAX(0,ROUNDUP(((YEAR(AE$3)-YEAR($E8))*12+MONTH(AE$3)-MONTH($E8))/$G8,0)*$G8)+$G8),EDATE($E8,MAX(0,ROUNDUP(((YEAR(AE$3)-YEAR($E8))*12+MONTH(AE$3)-MONTH($E8))/$G8,0)*$G8)))&gt;=AE$3,IF(EDATE($E8,MAX(0,ROUNDUP(((YEAR(AE$3)-YEAR($E8))*12+MONTH(AE$3)-MONTH($E8))/$G8,0)*$G8))&lt;AE$3,EDATE($E8,MAX(0,ROUNDUP(((YEAR(AE$3)-YEAR($E8))*12+MONTH(AE$3)-MONTH($E8))/$G8,0)*$G8)+$G8),EDATE($E8,MAX(0,ROUNDUP(((YEAR(AE$3)-YEAR($E8))*12+MONTH(AE$3)-MONTH($E8))/$G8,0)*$G8)))&lt;=IF($F8="",AE$4,MIN(AE$4,$F8))),1,0)))))</f>
        <v>0</v>
      </c>
      <c r="AF8" s="25" t="n">
        <f aca="false">IF(OR($C8="",$C8=0,$E8="",$B8="",$G8=-2),0,$C8*IF($G8=0,IF(IF($F8="",AF$4,MIN(AF$4,$F8))&lt;$E8,0,MAX(0,INT((IF($F8="",AF$4,MIN(AF$4,$F8))-$E8)/7)+1-MAX(0,ROUNDUP((AF$3-$E8)/7,0)))),IF($G8=101,(AND(EOMONTH(AF$3,0)&gt;=MAX(AF$3,$E8),EOMONTH(AF$3,0)&lt;=IF($F8="",AF$4,MIN(AF$4,$F8)))*1+AND(EOMONTH(AF$4,0)&lt;&gt;EOMONTH(AF$3,0),EOMONTH(AF$4,0)&gt;=MAX(AF$3,$E8),EOMONTH(AF$4,0)&lt;=IF($F8="",AF$4,MIN(AF$4,$F8)))*1),IF($G8=102,(AND(WORKDAY(EOMONTH(AF$3,0)+1,-3)&gt;=MAX(AF$3,$E8),WORKDAY(EOMONTH(AF$3,0)+1,-3)&lt;=IF($F8="",AF$4,MIN(AF$4,$F8)))*1+AND(WORKDAY(EOMONTH(AF$4,0)+1,-3)&lt;&gt;WORKDAY(EOMONTH(AF$3,0)+1,-3),WORKDAY(EOMONTH(AF$4,0)+1,-3)&gt;=MAX(AF$3,$E8),WORKDAY(EOMONTH(AF$4,0)+1,-3)&lt;=IF($F8="",AF$4,MIN(AF$4,$F8)))*1),IF(AND(IF(EDATE($E8,MAX(0,ROUNDUP(((YEAR(AF$3)-YEAR($E8))*12+MONTH(AF$3)-MONTH($E8))/$G8,0)*$G8))&lt;AF$3,EDATE($E8,MAX(0,ROUNDUP(((YEAR(AF$3)-YEAR($E8))*12+MONTH(AF$3)-MONTH($E8))/$G8,0)*$G8)+$G8),EDATE($E8,MAX(0,ROUNDUP(((YEAR(AF$3)-YEAR($E8))*12+MONTH(AF$3)-MONTH($E8))/$G8,0)*$G8)))&gt;=AF$3,IF(EDATE($E8,MAX(0,ROUNDUP(((YEAR(AF$3)-YEAR($E8))*12+MONTH(AF$3)-MONTH($E8))/$G8,0)*$G8))&lt;AF$3,EDATE($E8,MAX(0,ROUNDUP(((YEAR(AF$3)-YEAR($E8))*12+MONTH(AF$3)-MONTH($E8))/$G8,0)*$G8)+$G8),EDATE($E8,MAX(0,ROUNDUP(((YEAR(AF$3)-YEAR($E8))*12+MONTH(AF$3)-MONTH($E8))/$G8,0)*$G8)))&lt;=IF($F8="",AF$4,MIN(AF$4,$F8))),1,0)))))</f>
        <v>0</v>
      </c>
    </row>
    <row r="9" customFormat="false" ht="15" hidden="false" customHeight="false" outlineLevel="0" collapsed="false">
      <c r="A9" s="5"/>
      <c r="B9" s="5"/>
      <c r="C9" s="8"/>
      <c r="D9" s="5"/>
      <c r="E9" s="7"/>
      <c r="F9" s="7"/>
      <c r="G9" s="24" t="n">
        <f aca="false">IFERROR(INDEX(Listen!$E$2:$E$8,MATCH(D9,Listen!$D$2:$D$8,0)),-2)</f>
        <v>-2</v>
      </c>
      <c r="H9" s="25" t="n">
        <f aca="false">IF(OR($C9="",$C9=0,$E9="",$B9="",$G9=-2),0,$C9*IF($G9=0,IF(IF($F9="",H$4,MIN(H$4,$F9))&lt;$E9,0,MAX(0,INT((IF($F9="",H$4,MIN(H$4,$F9))-$E9)/7)+1-MAX(0,ROUNDUP((H$3-$E9)/7,0)))),IF($G9=101,(AND(EOMONTH(H$3,0)&gt;=MAX(H$3,$E9),EOMONTH(H$3,0)&lt;=IF($F9="",H$4,MIN(H$4,$F9)))*1+AND(EOMONTH(H$4,0)&lt;&gt;EOMONTH(H$3,0),EOMONTH(H$4,0)&gt;=MAX(H$3,$E9),EOMONTH(H$4,0)&lt;=IF($F9="",H$4,MIN(H$4,$F9)))*1),IF($G9=102,(AND(WORKDAY(EOMONTH(H$3,0)+1,-3)&gt;=MAX(H$3,$E9),WORKDAY(EOMONTH(H$3,0)+1,-3)&lt;=IF($F9="",H$4,MIN(H$4,$F9)))*1+AND(WORKDAY(EOMONTH(H$4,0)+1,-3)&lt;&gt;WORKDAY(EOMONTH(H$3,0)+1,-3),WORKDAY(EOMONTH(H$4,0)+1,-3)&gt;=MAX(H$3,$E9),WORKDAY(EOMONTH(H$4,0)+1,-3)&lt;=IF($F9="",H$4,MIN(H$4,$F9)))*1),IF(AND(IF(EDATE($E9,MAX(0,ROUNDUP(((YEAR(H$3)-YEAR($E9))*12+MONTH(H$3)-MONTH($E9))/$G9,0)*$G9))&lt;H$3,EDATE($E9,MAX(0,ROUNDUP(((YEAR(H$3)-YEAR($E9))*12+MONTH(H$3)-MONTH($E9))/$G9,0)*$G9)+$G9),EDATE($E9,MAX(0,ROUNDUP(((YEAR(H$3)-YEAR($E9))*12+MONTH(H$3)-MONTH($E9))/$G9,0)*$G9)))&gt;=H$3,IF(EDATE($E9,MAX(0,ROUNDUP(((YEAR(H$3)-YEAR($E9))*12+MONTH(H$3)-MONTH($E9))/$G9,0)*$G9))&lt;H$3,EDATE($E9,MAX(0,ROUNDUP(((YEAR(H$3)-YEAR($E9))*12+MONTH(H$3)-MONTH($E9))/$G9,0)*$G9)+$G9),EDATE($E9,MAX(0,ROUNDUP(((YEAR(H$3)-YEAR($E9))*12+MONTH(H$3)-MONTH($E9))/$G9,0)*$G9)))&lt;=IF($F9="",H$4,MIN(H$4,$F9))),1,0)))))</f>
        <v>0</v>
      </c>
      <c r="I9" s="25" t="n">
        <f aca="false">IF(OR($C9="",$C9=0,$E9="",$B9="",$G9=-2),0,$C9*IF($G9=0,IF(IF($F9="",I$4,MIN(I$4,$F9))&lt;$E9,0,MAX(0,INT((IF($F9="",I$4,MIN(I$4,$F9))-$E9)/7)+1-MAX(0,ROUNDUP((I$3-$E9)/7,0)))),IF($G9=101,(AND(EOMONTH(I$3,0)&gt;=MAX(I$3,$E9),EOMONTH(I$3,0)&lt;=IF($F9="",I$4,MIN(I$4,$F9)))*1+AND(EOMONTH(I$4,0)&lt;&gt;EOMONTH(I$3,0),EOMONTH(I$4,0)&gt;=MAX(I$3,$E9),EOMONTH(I$4,0)&lt;=IF($F9="",I$4,MIN(I$4,$F9)))*1),IF($G9=102,(AND(WORKDAY(EOMONTH(I$3,0)+1,-3)&gt;=MAX(I$3,$E9),WORKDAY(EOMONTH(I$3,0)+1,-3)&lt;=IF($F9="",I$4,MIN(I$4,$F9)))*1+AND(WORKDAY(EOMONTH(I$4,0)+1,-3)&lt;&gt;WORKDAY(EOMONTH(I$3,0)+1,-3),WORKDAY(EOMONTH(I$4,0)+1,-3)&gt;=MAX(I$3,$E9),WORKDAY(EOMONTH(I$4,0)+1,-3)&lt;=IF($F9="",I$4,MIN(I$4,$F9)))*1),IF(AND(IF(EDATE($E9,MAX(0,ROUNDUP(((YEAR(I$3)-YEAR($E9))*12+MONTH(I$3)-MONTH($E9))/$G9,0)*$G9))&lt;I$3,EDATE($E9,MAX(0,ROUNDUP(((YEAR(I$3)-YEAR($E9))*12+MONTH(I$3)-MONTH($E9))/$G9,0)*$G9)+$G9),EDATE($E9,MAX(0,ROUNDUP(((YEAR(I$3)-YEAR($E9))*12+MONTH(I$3)-MONTH($E9))/$G9,0)*$G9)))&gt;=I$3,IF(EDATE($E9,MAX(0,ROUNDUP(((YEAR(I$3)-YEAR($E9))*12+MONTH(I$3)-MONTH($E9))/$G9,0)*$G9))&lt;I$3,EDATE($E9,MAX(0,ROUNDUP(((YEAR(I$3)-YEAR($E9))*12+MONTH(I$3)-MONTH($E9))/$G9,0)*$G9)+$G9),EDATE($E9,MAX(0,ROUNDUP(((YEAR(I$3)-YEAR($E9))*12+MONTH(I$3)-MONTH($E9))/$G9,0)*$G9)))&lt;=IF($F9="",I$4,MIN(I$4,$F9))),1,0)))))</f>
        <v>0</v>
      </c>
      <c r="J9" s="25" t="n">
        <f aca="false">IF(OR($C9="",$C9=0,$E9="",$B9="",$G9=-2),0,$C9*IF($G9=0,IF(IF($F9="",J$4,MIN(J$4,$F9))&lt;$E9,0,MAX(0,INT((IF($F9="",J$4,MIN(J$4,$F9))-$E9)/7)+1-MAX(0,ROUNDUP((J$3-$E9)/7,0)))),IF($G9=101,(AND(EOMONTH(J$3,0)&gt;=MAX(J$3,$E9),EOMONTH(J$3,0)&lt;=IF($F9="",J$4,MIN(J$4,$F9)))*1+AND(EOMONTH(J$4,0)&lt;&gt;EOMONTH(J$3,0),EOMONTH(J$4,0)&gt;=MAX(J$3,$E9),EOMONTH(J$4,0)&lt;=IF($F9="",J$4,MIN(J$4,$F9)))*1),IF($G9=102,(AND(WORKDAY(EOMONTH(J$3,0)+1,-3)&gt;=MAX(J$3,$E9),WORKDAY(EOMONTH(J$3,0)+1,-3)&lt;=IF($F9="",J$4,MIN(J$4,$F9)))*1+AND(WORKDAY(EOMONTH(J$4,0)+1,-3)&lt;&gt;WORKDAY(EOMONTH(J$3,0)+1,-3),WORKDAY(EOMONTH(J$4,0)+1,-3)&gt;=MAX(J$3,$E9),WORKDAY(EOMONTH(J$4,0)+1,-3)&lt;=IF($F9="",J$4,MIN(J$4,$F9)))*1),IF(AND(IF(EDATE($E9,MAX(0,ROUNDUP(((YEAR(J$3)-YEAR($E9))*12+MONTH(J$3)-MONTH($E9))/$G9,0)*$G9))&lt;J$3,EDATE($E9,MAX(0,ROUNDUP(((YEAR(J$3)-YEAR($E9))*12+MONTH(J$3)-MONTH($E9))/$G9,0)*$G9)+$G9),EDATE($E9,MAX(0,ROUNDUP(((YEAR(J$3)-YEAR($E9))*12+MONTH(J$3)-MONTH($E9))/$G9,0)*$G9)))&gt;=J$3,IF(EDATE($E9,MAX(0,ROUNDUP(((YEAR(J$3)-YEAR($E9))*12+MONTH(J$3)-MONTH($E9))/$G9,0)*$G9))&lt;J$3,EDATE($E9,MAX(0,ROUNDUP(((YEAR(J$3)-YEAR($E9))*12+MONTH(J$3)-MONTH($E9))/$G9,0)*$G9)+$G9),EDATE($E9,MAX(0,ROUNDUP(((YEAR(J$3)-YEAR($E9))*12+MONTH(J$3)-MONTH($E9))/$G9,0)*$G9)))&lt;=IF($F9="",J$4,MIN(J$4,$F9))),1,0)))))</f>
        <v>0</v>
      </c>
      <c r="K9" s="25" t="n">
        <f aca="false">IF(OR($C9="",$C9=0,$E9="",$B9="",$G9=-2),0,$C9*IF($G9=0,IF(IF($F9="",K$4,MIN(K$4,$F9))&lt;$E9,0,MAX(0,INT((IF($F9="",K$4,MIN(K$4,$F9))-$E9)/7)+1-MAX(0,ROUNDUP((K$3-$E9)/7,0)))),IF($G9=101,(AND(EOMONTH(K$3,0)&gt;=MAX(K$3,$E9),EOMONTH(K$3,0)&lt;=IF($F9="",K$4,MIN(K$4,$F9)))*1+AND(EOMONTH(K$4,0)&lt;&gt;EOMONTH(K$3,0),EOMONTH(K$4,0)&gt;=MAX(K$3,$E9),EOMONTH(K$4,0)&lt;=IF($F9="",K$4,MIN(K$4,$F9)))*1),IF($G9=102,(AND(WORKDAY(EOMONTH(K$3,0)+1,-3)&gt;=MAX(K$3,$E9),WORKDAY(EOMONTH(K$3,0)+1,-3)&lt;=IF($F9="",K$4,MIN(K$4,$F9)))*1+AND(WORKDAY(EOMONTH(K$4,0)+1,-3)&lt;&gt;WORKDAY(EOMONTH(K$3,0)+1,-3),WORKDAY(EOMONTH(K$4,0)+1,-3)&gt;=MAX(K$3,$E9),WORKDAY(EOMONTH(K$4,0)+1,-3)&lt;=IF($F9="",K$4,MIN(K$4,$F9)))*1),IF(AND(IF(EDATE($E9,MAX(0,ROUNDUP(((YEAR(K$3)-YEAR($E9))*12+MONTH(K$3)-MONTH($E9))/$G9,0)*$G9))&lt;K$3,EDATE($E9,MAX(0,ROUNDUP(((YEAR(K$3)-YEAR($E9))*12+MONTH(K$3)-MONTH($E9))/$G9,0)*$G9)+$G9),EDATE($E9,MAX(0,ROUNDUP(((YEAR(K$3)-YEAR($E9))*12+MONTH(K$3)-MONTH($E9))/$G9,0)*$G9)))&gt;=K$3,IF(EDATE($E9,MAX(0,ROUNDUP(((YEAR(K$3)-YEAR($E9))*12+MONTH(K$3)-MONTH($E9))/$G9,0)*$G9))&lt;K$3,EDATE($E9,MAX(0,ROUNDUP(((YEAR(K$3)-YEAR($E9))*12+MONTH(K$3)-MONTH($E9))/$G9,0)*$G9)+$G9),EDATE($E9,MAX(0,ROUNDUP(((YEAR(K$3)-YEAR($E9))*12+MONTH(K$3)-MONTH($E9))/$G9,0)*$G9)))&lt;=IF($F9="",K$4,MIN(K$4,$F9))),1,0)))))</f>
        <v>0</v>
      </c>
      <c r="L9" s="25" t="n">
        <f aca="false">IF(OR($C9="",$C9=0,$E9="",$B9="",$G9=-2),0,$C9*IF($G9=0,IF(IF($F9="",L$4,MIN(L$4,$F9))&lt;$E9,0,MAX(0,INT((IF($F9="",L$4,MIN(L$4,$F9))-$E9)/7)+1-MAX(0,ROUNDUP((L$3-$E9)/7,0)))),IF($G9=101,(AND(EOMONTH(L$3,0)&gt;=MAX(L$3,$E9),EOMONTH(L$3,0)&lt;=IF($F9="",L$4,MIN(L$4,$F9)))*1+AND(EOMONTH(L$4,0)&lt;&gt;EOMONTH(L$3,0),EOMONTH(L$4,0)&gt;=MAX(L$3,$E9),EOMONTH(L$4,0)&lt;=IF($F9="",L$4,MIN(L$4,$F9)))*1),IF($G9=102,(AND(WORKDAY(EOMONTH(L$3,0)+1,-3)&gt;=MAX(L$3,$E9),WORKDAY(EOMONTH(L$3,0)+1,-3)&lt;=IF($F9="",L$4,MIN(L$4,$F9)))*1+AND(WORKDAY(EOMONTH(L$4,0)+1,-3)&lt;&gt;WORKDAY(EOMONTH(L$3,0)+1,-3),WORKDAY(EOMONTH(L$4,0)+1,-3)&gt;=MAX(L$3,$E9),WORKDAY(EOMONTH(L$4,0)+1,-3)&lt;=IF($F9="",L$4,MIN(L$4,$F9)))*1),IF(AND(IF(EDATE($E9,MAX(0,ROUNDUP(((YEAR(L$3)-YEAR($E9))*12+MONTH(L$3)-MONTH($E9))/$G9,0)*$G9))&lt;L$3,EDATE($E9,MAX(0,ROUNDUP(((YEAR(L$3)-YEAR($E9))*12+MONTH(L$3)-MONTH($E9))/$G9,0)*$G9)+$G9),EDATE($E9,MAX(0,ROUNDUP(((YEAR(L$3)-YEAR($E9))*12+MONTH(L$3)-MONTH($E9))/$G9,0)*$G9)))&gt;=L$3,IF(EDATE($E9,MAX(0,ROUNDUP(((YEAR(L$3)-YEAR($E9))*12+MONTH(L$3)-MONTH($E9))/$G9,0)*$G9))&lt;L$3,EDATE($E9,MAX(0,ROUNDUP(((YEAR(L$3)-YEAR($E9))*12+MONTH(L$3)-MONTH($E9))/$G9,0)*$G9)+$G9),EDATE($E9,MAX(0,ROUNDUP(((YEAR(L$3)-YEAR($E9))*12+MONTH(L$3)-MONTH($E9))/$G9,0)*$G9)))&lt;=IF($F9="",L$4,MIN(L$4,$F9))),1,0)))))</f>
        <v>0</v>
      </c>
      <c r="M9" s="25" t="n">
        <f aca="false">IF(OR($C9="",$C9=0,$E9="",$B9="",$G9=-2),0,$C9*IF($G9=0,IF(IF($F9="",M$4,MIN(M$4,$F9))&lt;$E9,0,MAX(0,INT((IF($F9="",M$4,MIN(M$4,$F9))-$E9)/7)+1-MAX(0,ROUNDUP((M$3-$E9)/7,0)))),IF($G9=101,(AND(EOMONTH(M$3,0)&gt;=MAX(M$3,$E9),EOMONTH(M$3,0)&lt;=IF($F9="",M$4,MIN(M$4,$F9)))*1+AND(EOMONTH(M$4,0)&lt;&gt;EOMONTH(M$3,0),EOMONTH(M$4,0)&gt;=MAX(M$3,$E9),EOMONTH(M$4,0)&lt;=IF($F9="",M$4,MIN(M$4,$F9)))*1),IF($G9=102,(AND(WORKDAY(EOMONTH(M$3,0)+1,-3)&gt;=MAX(M$3,$E9),WORKDAY(EOMONTH(M$3,0)+1,-3)&lt;=IF($F9="",M$4,MIN(M$4,$F9)))*1+AND(WORKDAY(EOMONTH(M$4,0)+1,-3)&lt;&gt;WORKDAY(EOMONTH(M$3,0)+1,-3),WORKDAY(EOMONTH(M$4,0)+1,-3)&gt;=MAX(M$3,$E9),WORKDAY(EOMONTH(M$4,0)+1,-3)&lt;=IF($F9="",M$4,MIN(M$4,$F9)))*1),IF(AND(IF(EDATE($E9,MAX(0,ROUNDUP(((YEAR(M$3)-YEAR($E9))*12+MONTH(M$3)-MONTH($E9))/$G9,0)*$G9))&lt;M$3,EDATE($E9,MAX(0,ROUNDUP(((YEAR(M$3)-YEAR($E9))*12+MONTH(M$3)-MONTH($E9))/$G9,0)*$G9)+$G9),EDATE($E9,MAX(0,ROUNDUP(((YEAR(M$3)-YEAR($E9))*12+MONTH(M$3)-MONTH($E9))/$G9,0)*$G9)))&gt;=M$3,IF(EDATE($E9,MAX(0,ROUNDUP(((YEAR(M$3)-YEAR($E9))*12+MONTH(M$3)-MONTH($E9))/$G9,0)*$G9))&lt;M$3,EDATE($E9,MAX(0,ROUNDUP(((YEAR(M$3)-YEAR($E9))*12+MONTH(M$3)-MONTH($E9))/$G9,0)*$G9)+$G9),EDATE($E9,MAX(0,ROUNDUP(((YEAR(M$3)-YEAR($E9))*12+MONTH(M$3)-MONTH($E9))/$G9,0)*$G9)))&lt;=IF($F9="",M$4,MIN(M$4,$F9))),1,0)))))</f>
        <v>0</v>
      </c>
      <c r="N9" s="25" t="n">
        <f aca="false">IF(OR($C9="",$C9=0,$E9="",$B9="",$G9=-2),0,$C9*IF($G9=0,IF(IF($F9="",N$4,MIN(N$4,$F9))&lt;$E9,0,MAX(0,INT((IF($F9="",N$4,MIN(N$4,$F9))-$E9)/7)+1-MAX(0,ROUNDUP((N$3-$E9)/7,0)))),IF($G9=101,(AND(EOMONTH(N$3,0)&gt;=MAX(N$3,$E9),EOMONTH(N$3,0)&lt;=IF($F9="",N$4,MIN(N$4,$F9)))*1+AND(EOMONTH(N$4,0)&lt;&gt;EOMONTH(N$3,0),EOMONTH(N$4,0)&gt;=MAX(N$3,$E9),EOMONTH(N$4,0)&lt;=IF($F9="",N$4,MIN(N$4,$F9)))*1),IF($G9=102,(AND(WORKDAY(EOMONTH(N$3,0)+1,-3)&gt;=MAX(N$3,$E9),WORKDAY(EOMONTH(N$3,0)+1,-3)&lt;=IF($F9="",N$4,MIN(N$4,$F9)))*1+AND(WORKDAY(EOMONTH(N$4,0)+1,-3)&lt;&gt;WORKDAY(EOMONTH(N$3,0)+1,-3),WORKDAY(EOMONTH(N$4,0)+1,-3)&gt;=MAX(N$3,$E9),WORKDAY(EOMONTH(N$4,0)+1,-3)&lt;=IF($F9="",N$4,MIN(N$4,$F9)))*1),IF(AND(IF(EDATE($E9,MAX(0,ROUNDUP(((YEAR(N$3)-YEAR($E9))*12+MONTH(N$3)-MONTH($E9))/$G9,0)*$G9))&lt;N$3,EDATE($E9,MAX(0,ROUNDUP(((YEAR(N$3)-YEAR($E9))*12+MONTH(N$3)-MONTH($E9))/$G9,0)*$G9)+$G9),EDATE($E9,MAX(0,ROUNDUP(((YEAR(N$3)-YEAR($E9))*12+MONTH(N$3)-MONTH($E9))/$G9,0)*$G9)))&gt;=N$3,IF(EDATE($E9,MAX(0,ROUNDUP(((YEAR(N$3)-YEAR($E9))*12+MONTH(N$3)-MONTH($E9))/$G9,0)*$G9))&lt;N$3,EDATE($E9,MAX(0,ROUNDUP(((YEAR(N$3)-YEAR($E9))*12+MONTH(N$3)-MONTH($E9))/$G9,0)*$G9)+$G9),EDATE($E9,MAX(0,ROUNDUP(((YEAR(N$3)-YEAR($E9))*12+MONTH(N$3)-MONTH($E9))/$G9,0)*$G9)))&lt;=IF($F9="",N$4,MIN(N$4,$F9))),1,0)))))</f>
        <v>0</v>
      </c>
      <c r="O9" s="25" t="n">
        <f aca="false">IF(OR($C9="",$C9=0,$E9="",$B9="",$G9=-2),0,$C9*IF($G9=0,IF(IF($F9="",O$4,MIN(O$4,$F9))&lt;$E9,0,MAX(0,INT((IF($F9="",O$4,MIN(O$4,$F9))-$E9)/7)+1-MAX(0,ROUNDUP((O$3-$E9)/7,0)))),IF($G9=101,(AND(EOMONTH(O$3,0)&gt;=MAX(O$3,$E9),EOMONTH(O$3,0)&lt;=IF($F9="",O$4,MIN(O$4,$F9)))*1+AND(EOMONTH(O$4,0)&lt;&gt;EOMONTH(O$3,0),EOMONTH(O$4,0)&gt;=MAX(O$3,$E9),EOMONTH(O$4,0)&lt;=IF($F9="",O$4,MIN(O$4,$F9)))*1),IF($G9=102,(AND(WORKDAY(EOMONTH(O$3,0)+1,-3)&gt;=MAX(O$3,$E9),WORKDAY(EOMONTH(O$3,0)+1,-3)&lt;=IF($F9="",O$4,MIN(O$4,$F9)))*1+AND(WORKDAY(EOMONTH(O$4,0)+1,-3)&lt;&gt;WORKDAY(EOMONTH(O$3,0)+1,-3),WORKDAY(EOMONTH(O$4,0)+1,-3)&gt;=MAX(O$3,$E9),WORKDAY(EOMONTH(O$4,0)+1,-3)&lt;=IF($F9="",O$4,MIN(O$4,$F9)))*1),IF(AND(IF(EDATE($E9,MAX(0,ROUNDUP(((YEAR(O$3)-YEAR($E9))*12+MONTH(O$3)-MONTH($E9))/$G9,0)*$G9))&lt;O$3,EDATE($E9,MAX(0,ROUNDUP(((YEAR(O$3)-YEAR($E9))*12+MONTH(O$3)-MONTH($E9))/$G9,0)*$G9)+$G9),EDATE($E9,MAX(0,ROUNDUP(((YEAR(O$3)-YEAR($E9))*12+MONTH(O$3)-MONTH($E9))/$G9,0)*$G9)))&gt;=O$3,IF(EDATE($E9,MAX(0,ROUNDUP(((YEAR(O$3)-YEAR($E9))*12+MONTH(O$3)-MONTH($E9))/$G9,0)*$G9))&lt;O$3,EDATE($E9,MAX(0,ROUNDUP(((YEAR(O$3)-YEAR($E9))*12+MONTH(O$3)-MONTH($E9))/$G9,0)*$G9)+$G9),EDATE($E9,MAX(0,ROUNDUP(((YEAR(O$3)-YEAR($E9))*12+MONTH(O$3)-MONTH($E9))/$G9,0)*$G9)))&lt;=IF($F9="",O$4,MIN(O$4,$F9))),1,0)))))</f>
        <v>0</v>
      </c>
      <c r="P9" s="25" t="n">
        <f aca="false">IF(OR($C9="",$C9=0,$E9="",$B9="",$G9=-2),0,$C9*IF($G9=0,IF(IF($F9="",P$4,MIN(P$4,$F9))&lt;$E9,0,MAX(0,INT((IF($F9="",P$4,MIN(P$4,$F9))-$E9)/7)+1-MAX(0,ROUNDUP((P$3-$E9)/7,0)))),IF($G9=101,(AND(EOMONTH(P$3,0)&gt;=MAX(P$3,$E9),EOMONTH(P$3,0)&lt;=IF($F9="",P$4,MIN(P$4,$F9)))*1+AND(EOMONTH(P$4,0)&lt;&gt;EOMONTH(P$3,0),EOMONTH(P$4,0)&gt;=MAX(P$3,$E9),EOMONTH(P$4,0)&lt;=IF($F9="",P$4,MIN(P$4,$F9)))*1),IF($G9=102,(AND(WORKDAY(EOMONTH(P$3,0)+1,-3)&gt;=MAX(P$3,$E9),WORKDAY(EOMONTH(P$3,0)+1,-3)&lt;=IF($F9="",P$4,MIN(P$4,$F9)))*1+AND(WORKDAY(EOMONTH(P$4,0)+1,-3)&lt;&gt;WORKDAY(EOMONTH(P$3,0)+1,-3),WORKDAY(EOMONTH(P$4,0)+1,-3)&gt;=MAX(P$3,$E9),WORKDAY(EOMONTH(P$4,0)+1,-3)&lt;=IF($F9="",P$4,MIN(P$4,$F9)))*1),IF(AND(IF(EDATE($E9,MAX(0,ROUNDUP(((YEAR(P$3)-YEAR($E9))*12+MONTH(P$3)-MONTH($E9))/$G9,0)*$G9))&lt;P$3,EDATE($E9,MAX(0,ROUNDUP(((YEAR(P$3)-YEAR($E9))*12+MONTH(P$3)-MONTH($E9))/$G9,0)*$G9)+$G9),EDATE($E9,MAX(0,ROUNDUP(((YEAR(P$3)-YEAR($E9))*12+MONTH(P$3)-MONTH($E9))/$G9,0)*$G9)))&gt;=P$3,IF(EDATE($E9,MAX(0,ROUNDUP(((YEAR(P$3)-YEAR($E9))*12+MONTH(P$3)-MONTH($E9))/$G9,0)*$G9))&lt;P$3,EDATE($E9,MAX(0,ROUNDUP(((YEAR(P$3)-YEAR($E9))*12+MONTH(P$3)-MONTH($E9))/$G9,0)*$G9)+$G9),EDATE($E9,MAX(0,ROUNDUP(((YEAR(P$3)-YEAR($E9))*12+MONTH(P$3)-MONTH($E9))/$G9,0)*$G9)))&lt;=IF($F9="",P$4,MIN(P$4,$F9))),1,0)))))</f>
        <v>0</v>
      </c>
      <c r="Q9" s="25" t="n">
        <f aca="false">IF(OR($C9="",$C9=0,$E9="",$B9="",$G9=-2),0,$C9*IF($G9=0,IF(IF($F9="",Q$4,MIN(Q$4,$F9))&lt;$E9,0,MAX(0,INT((IF($F9="",Q$4,MIN(Q$4,$F9))-$E9)/7)+1-MAX(0,ROUNDUP((Q$3-$E9)/7,0)))),IF($G9=101,(AND(EOMONTH(Q$3,0)&gt;=MAX(Q$3,$E9),EOMONTH(Q$3,0)&lt;=IF($F9="",Q$4,MIN(Q$4,$F9)))*1+AND(EOMONTH(Q$4,0)&lt;&gt;EOMONTH(Q$3,0),EOMONTH(Q$4,0)&gt;=MAX(Q$3,$E9),EOMONTH(Q$4,0)&lt;=IF($F9="",Q$4,MIN(Q$4,$F9)))*1),IF($G9=102,(AND(WORKDAY(EOMONTH(Q$3,0)+1,-3)&gt;=MAX(Q$3,$E9),WORKDAY(EOMONTH(Q$3,0)+1,-3)&lt;=IF($F9="",Q$4,MIN(Q$4,$F9)))*1+AND(WORKDAY(EOMONTH(Q$4,0)+1,-3)&lt;&gt;WORKDAY(EOMONTH(Q$3,0)+1,-3),WORKDAY(EOMONTH(Q$4,0)+1,-3)&gt;=MAX(Q$3,$E9),WORKDAY(EOMONTH(Q$4,0)+1,-3)&lt;=IF($F9="",Q$4,MIN(Q$4,$F9)))*1),IF(AND(IF(EDATE($E9,MAX(0,ROUNDUP(((YEAR(Q$3)-YEAR($E9))*12+MONTH(Q$3)-MONTH($E9))/$G9,0)*$G9))&lt;Q$3,EDATE($E9,MAX(0,ROUNDUP(((YEAR(Q$3)-YEAR($E9))*12+MONTH(Q$3)-MONTH($E9))/$G9,0)*$G9)+$G9),EDATE($E9,MAX(0,ROUNDUP(((YEAR(Q$3)-YEAR($E9))*12+MONTH(Q$3)-MONTH($E9))/$G9,0)*$G9)))&gt;=Q$3,IF(EDATE($E9,MAX(0,ROUNDUP(((YEAR(Q$3)-YEAR($E9))*12+MONTH(Q$3)-MONTH($E9))/$G9,0)*$G9))&lt;Q$3,EDATE($E9,MAX(0,ROUNDUP(((YEAR(Q$3)-YEAR($E9))*12+MONTH(Q$3)-MONTH($E9))/$G9,0)*$G9)+$G9),EDATE($E9,MAX(0,ROUNDUP(((YEAR(Q$3)-YEAR($E9))*12+MONTH(Q$3)-MONTH($E9))/$G9,0)*$G9)))&lt;=IF($F9="",Q$4,MIN(Q$4,$F9))),1,0)))))</f>
        <v>0</v>
      </c>
      <c r="R9" s="25" t="n">
        <f aca="false">IF(OR($C9="",$C9=0,$E9="",$B9="",$G9=-2),0,$C9*IF($G9=0,IF(IF($F9="",R$4,MIN(R$4,$F9))&lt;$E9,0,MAX(0,INT((IF($F9="",R$4,MIN(R$4,$F9))-$E9)/7)+1-MAX(0,ROUNDUP((R$3-$E9)/7,0)))),IF($G9=101,(AND(EOMONTH(R$3,0)&gt;=MAX(R$3,$E9),EOMONTH(R$3,0)&lt;=IF($F9="",R$4,MIN(R$4,$F9)))*1+AND(EOMONTH(R$4,0)&lt;&gt;EOMONTH(R$3,0),EOMONTH(R$4,0)&gt;=MAX(R$3,$E9),EOMONTH(R$4,0)&lt;=IF($F9="",R$4,MIN(R$4,$F9)))*1),IF($G9=102,(AND(WORKDAY(EOMONTH(R$3,0)+1,-3)&gt;=MAX(R$3,$E9),WORKDAY(EOMONTH(R$3,0)+1,-3)&lt;=IF($F9="",R$4,MIN(R$4,$F9)))*1+AND(WORKDAY(EOMONTH(R$4,0)+1,-3)&lt;&gt;WORKDAY(EOMONTH(R$3,0)+1,-3),WORKDAY(EOMONTH(R$4,0)+1,-3)&gt;=MAX(R$3,$E9),WORKDAY(EOMONTH(R$4,0)+1,-3)&lt;=IF($F9="",R$4,MIN(R$4,$F9)))*1),IF(AND(IF(EDATE($E9,MAX(0,ROUNDUP(((YEAR(R$3)-YEAR($E9))*12+MONTH(R$3)-MONTH($E9))/$G9,0)*$G9))&lt;R$3,EDATE($E9,MAX(0,ROUNDUP(((YEAR(R$3)-YEAR($E9))*12+MONTH(R$3)-MONTH($E9))/$G9,0)*$G9)+$G9),EDATE($E9,MAX(0,ROUNDUP(((YEAR(R$3)-YEAR($E9))*12+MONTH(R$3)-MONTH($E9))/$G9,0)*$G9)))&gt;=R$3,IF(EDATE($E9,MAX(0,ROUNDUP(((YEAR(R$3)-YEAR($E9))*12+MONTH(R$3)-MONTH($E9))/$G9,0)*$G9))&lt;R$3,EDATE($E9,MAX(0,ROUNDUP(((YEAR(R$3)-YEAR($E9))*12+MONTH(R$3)-MONTH($E9))/$G9,0)*$G9)+$G9),EDATE($E9,MAX(0,ROUNDUP(((YEAR(R$3)-YEAR($E9))*12+MONTH(R$3)-MONTH($E9))/$G9,0)*$G9)))&lt;=IF($F9="",R$4,MIN(R$4,$F9))),1,0)))))</f>
        <v>0</v>
      </c>
      <c r="S9" s="25" t="n">
        <f aca="false">IF(OR($C9="",$C9=0,$E9="",$B9="",$G9=-2),0,$C9*IF($G9=0,IF(IF($F9="",S$4,MIN(S$4,$F9))&lt;$E9,0,MAX(0,INT((IF($F9="",S$4,MIN(S$4,$F9))-$E9)/7)+1-MAX(0,ROUNDUP((S$3-$E9)/7,0)))),IF($G9=101,(AND(EOMONTH(S$3,0)&gt;=MAX(S$3,$E9),EOMONTH(S$3,0)&lt;=IF($F9="",S$4,MIN(S$4,$F9)))*1+AND(EOMONTH(S$4,0)&lt;&gt;EOMONTH(S$3,0),EOMONTH(S$4,0)&gt;=MAX(S$3,$E9),EOMONTH(S$4,0)&lt;=IF($F9="",S$4,MIN(S$4,$F9)))*1),IF($G9=102,(AND(WORKDAY(EOMONTH(S$3,0)+1,-3)&gt;=MAX(S$3,$E9),WORKDAY(EOMONTH(S$3,0)+1,-3)&lt;=IF($F9="",S$4,MIN(S$4,$F9)))*1+AND(WORKDAY(EOMONTH(S$4,0)+1,-3)&lt;&gt;WORKDAY(EOMONTH(S$3,0)+1,-3),WORKDAY(EOMONTH(S$4,0)+1,-3)&gt;=MAX(S$3,$E9),WORKDAY(EOMONTH(S$4,0)+1,-3)&lt;=IF($F9="",S$4,MIN(S$4,$F9)))*1),IF(AND(IF(EDATE($E9,MAX(0,ROUNDUP(((YEAR(S$3)-YEAR($E9))*12+MONTH(S$3)-MONTH($E9))/$G9,0)*$G9))&lt;S$3,EDATE($E9,MAX(0,ROUNDUP(((YEAR(S$3)-YEAR($E9))*12+MONTH(S$3)-MONTH($E9))/$G9,0)*$G9)+$G9),EDATE($E9,MAX(0,ROUNDUP(((YEAR(S$3)-YEAR($E9))*12+MONTH(S$3)-MONTH($E9))/$G9,0)*$G9)))&gt;=S$3,IF(EDATE($E9,MAX(0,ROUNDUP(((YEAR(S$3)-YEAR($E9))*12+MONTH(S$3)-MONTH($E9))/$G9,0)*$G9))&lt;S$3,EDATE($E9,MAX(0,ROUNDUP(((YEAR(S$3)-YEAR($E9))*12+MONTH(S$3)-MONTH($E9))/$G9,0)*$G9)+$G9),EDATE($E9,MAX(0,ROUNDUP(((YEAR(S$3)-YEAR($E9))*12+MONTH(S$3)-MONTH($E9))/$G9,0)*$G9)))&lt;=IF($F9="",S$4,MIN(S$4,$F9))),1,0)))))</f>
        <v>0</v>
      </c>
      <c r="T9" s="25" t="n">
        <f aca="false">IF(OR($C9="",$C9=0,$E9="",$B9="",$G9=-2),0,$C9*IF($G9=0,IF(IF($F9="",T$4,MIN(T$4,$F9))&lt;$E9,0,MAX(0,INT((IF($F9="",T$4,MIN(T$4,$F9))-$E9)/7)+1-MAX(0,ROUNDUP((T$3-$E9)/7,0)))),IF($G9=101,(AND(EOMONTH(T$3,0)&gt;=MAX(T$3,$E9),EOMONTH(T$3,0)&lt;=IF($F9="",T$4,MIN(T$4,$F9)))*1+AND(EOMONTH(T$4,0)&lt;&gt;EOMONTH(T$3,0),EOMONTH(T$4,0)&gt;=MAX(T$3,$E9),EOMONTH(T$4,0)&lt;=IF($F9="",T$4,MIN(T$4,$F9)))*1),IF($G9=102,(AND(WORKDAY(EOMONTH(T$3,0)+1,-3)&gt;=MAX(T$3,$E9),WORKDAY(EOMONTH(T$3,0)+1,-3)&lt;=IF($F9="",T$4,MIN(T$4,$F9)))*1+AND(WORKDAY(EOMONTH(T$4,0)+1,-3)&lt;&gt;WORKDAY(EOMONTH(T$3,0)+1,-3),WORKDAY(EOMONTH(T$4,0)+1,-3)&gt;=MAX(T$3,$E9),WORKDAY(EOMONTH(T$4,0)+1,-3)&lt;=IF($F9="",T$4,MIN(T$4,$F9)))*1),IF(AND(IF(EDATE($E9,MAX(0,ROUNDUP(((YEAR(T$3)-YEAR($E9))*12+MONTH(T$3)-MONTH($E9))/$G9,0)*$G9))&lt;T$3,EDATE($E9,MAX(0,ROUNDUP(((YEAR(T$3)-YEAR($E9))*12+MONTH(T$3)-MONTH($E9))/$G9,0)*$G9)+$G9),EDATE($E9,MAX(0,ROUNDUP(((YEAR(T$3)-YEAR($E9))*12+MONTH(T$3)-MONTH($E9))/$G9,0)*$G9)))&gt;=T$3,IF(EDATE($E9,MAX(0,ROUNDUP(((YEAR(T$3)-YEAR($E9))*12+MONTH(T$3)-MONTH($E9))/$G9,0)*$G9))&lt;T$3,EDATE($E9,MAX(0,ROUNDUP(((YEAR(T$3)-YEAR($E9))*12+MONTH(T$3)-MONTH($E9))/$G9,0)*$G9)+$G9),EDATE($E9,MAX(0,ROUNDUP(((YEAR(T$3)-YEAR($E9))*12+MONTH(T$3)-MONTH($E9))/$G9,0)*$G9)))&lt;=IF($F9="",T$4,MIN(T$4,$F9))),1,0)))))</f>
        <v>0</v>
      </c>
      <c r="U9" s="25" t="n">
        <f aca="false">IF(OR($C9="",$C9=0,$E9="",$B9="",$G9=-2),0,$C9*IF($G9=0,IF(IF($F9="",U$4,MIN(U$4,$F9))&lt;$E9,0,MAX(0,INT((IF($F9="",U$4,MIN(U$4,$F9))-$E9)/7)+1-MAX(0,ROUNDUP((U$3-$E9)/7,0)))),IF($G9=101,(AND(EOMONTH(U$3,0)&gt;=MAX(U$3,$E9),EOMONTH(U$3,0)&lt;=IF($F9="",U$4,MIN(U$4,$F9)))*1+AND(EOMONTH(U$4,0)&lt;&gt;EOMONTH(U$3,0),EOMONTH(U$4,0)&gt;=MAX(U$3,$E9),EOMONTH(U$4,0)&lt;=IF($F9="",U$4,MIN(U$4,$F9)))*1),IF($G9=102,(AND(WORKDAY(EOMONTH(U$3,0)+1,-3)&gt;=MAX(U$3,$E9),WORKDAY(EOMONTH(U$3,0)+1,-3)&lt;=IF($F9="",U$4,MIN(U$4,$F9)))*1+AND(WORKDAY(EOMONTH(U$4,0)+1,-3)&lt;&gt;WORKDAY(EOMONTH(U$3,0)+1,-3),WORKDAY(EOMONTH(U$4,0)+1,-3)&gt;=MAX(U$3,$E9),WORKDAY(EOMONTH(U$4,0)+1,-3)&lt;=IF($F9="",U$4,MIN(U$4,$F9)))*1),IF(AND(IF(EDATE($E9,MAX(0,ROUNDUP(((YEAR(U$3)-YEAR($E9))*12+MONTH(U$3)-MONTH($E9))/$G9,0)*$G9))&lt;U$3,EDATE($E9,MAX(0,ROUNDUP(((YEAR(U$3)-YEAR($E9))*12+MONTH(U$3)-MONTH($E9))/$G9,0)*$G9)+$G9),EDATE($E9,MAX(0,ROUNDUP(((YEAR(U$3)-YEAR($E9))*12+MONTH(U$3)-MONTH($E9))/$G9,0)*$G9)))&gt;=U$3,IF(EDATE($E9,MAX(0,ROUNDUP(((YEAR(U$3)-YEAR($E9))*12+MONTH(U$3)-MONTH($E9))/$G9,0)*$G9))&lt;U$3,EDATE($E9,MAX(0,ROUNDUP(((YEAR(U$3)-YEAR($E9))*12+MONTH(U$3)-MONTH($E9))/$G9,0)*$G9)+$G9),EDATE($E9,MAX(0,ROUNDUP(((YEAR(U$3)-YEAR($E9))*12+MONTH(U$3)-MONTH($E9))/$G9,0)*$G9)))&lt;=IF($F9="",U$4,MIN(U$4,$F9))),1,0)))))</f>
        <v>0</v>
      </c>
      <c r="V9" s="25" t="n">
        <f aca="false">IF(OR($C9="",$C9=0,$E9="",$B9="",$G9=-2),0,$C9*IF($G9=0,IF(IF($F9="",V$4,MIN(V$4,$F9))&lt;$E9,0,MAX(0,INT((IF($F9="",V$4,MIN(V$4,$F9))-$E9)/7)+1-MAX(0,ROUNDUP((V$3-$E9)/7,0)))),IF($G9=101,(AND(EOMONTH(V$3,0)&gt;=MAX(V$3,$E9),EOMONTH(V$3,0)&lt;=IF($F9="",V$4,MIN(V$4,$F9)))*1+AND(EOMONTH(V$4,0)&lt;&gt;EOMONTH(V$3,0),EOMONTH(V$4,0)&gt;=MAX(V$3,$E9),EOMONTH(V$4,0)&lt;=IF($F9="",V$4,MIN(V$4,$F9)))*1),IF($G9=102,(AND(WORKDAY(EOMONTH(V$3,0)+1,-3)&gt;=MAX(V$3,$E9),WORKDAY(EOMONTH(V$3,0)+1,-3)&lt;=IF($F9="",V$4,MIN(V$4,$F9)))*1+AND(WORKDAY(EOMONTH(V$4,0)+1,-3)&lt;&gt;WORKDAY(EOMONTH(V$3,0)+1,-3),WORKDAY(EOMONTH(V$4,0)+1,-3)&gt;=MAX(V$3,$E9),WORKDAY(EOMONTH(V$4,0)+1,-3)&lt;=IF($F9="",V$4,MIN(V$4,$F9)))*1),IF(AND(IF(EDATE($E9,MAX(0,ROUNDUP(((YEAR(V$3)-YEAR($E9))*12+MONTH(V$3)-MONTH($E9))/$G9,0)*$G9))&lt;V$3,EDATE($E9,MAX(0,ROUNDUP(((YEAR(V$3)-YEAR($E9))*12+MONTH(V$3)-MONTH($E9))/$G9,0)*$G9)+$G9),EDATE($E9,MAX(0,ROUNDUP(((YEAR(V$3)-YEAR($E9))*12+MONTH(V$3)-MONTH($E9))/$G9,0)*$G9)))&gt;=V$3,IF(EDATE($E9,MAX(0,ROUNDUP(((YEAR(V$3)-YEAR($E9))*12+MONTH(V$3)-MONTH($E9))/$G9,0)*$G9))&lt;V$3,EDATE($E9,MAX(0,ROUNDUP(((YEAR(V$3)-YEAR($E9))*12+MONTH(V$3)-MONTH($E9))/$G9,0)*$G9)+$G9),EDATE($E9,MAX(0,ROUNDUP(((YEAR(V$3)-YEAR($E9))*12+MONTH(V$3)-MONTH($E9))/$G9,0)*$G9)))&lt;=IF($F9="",V$4,MIN(V$4,$F9))),1,0)))))</f>
        <v>0</v>
      </c>
      <c r="W9" s="25" t="n">
        <f aca="false">IF(OR($C9="",$C9=0,$E9="",$B9="",$G9=-2),0,$C9*IF($G9=0,IF(IF($F9="",W$4,MIN(W$4,$F9))&lt;$E9,0,MAX(0,INT((IF($F9="",W$4,MIN(W$4,$F9))-$E9)/7)+1-MAX(0,ROUNDUP((W$3-$E9)/7,0)))),IF($G9=101,(AND(EOMONTH(W$3,0)&gt;=MAX(W$3,$E9),EOMONTH(W$3,0)&lt;=IF($F9="",W$4,MIN(W$4,$F9)))*1+AND(EOMONTH(W$4,0)&lt;&gt;EOMONTH(W$3,0),EOMONTH(W$4,0)&gt;=MAX(W$3,$E9),EOMONTH(W$4,0)&lt;=IF($F9="",W$4,MIN(W$4,$F9)))*1),IF($G9=102,(AND(WORKDAY(EOMONTH(W$3,0)+1,-3)&gt;=MAX(W$3,$E9),WORKDAY(EOMONTH(W$3,0)+1,-3)&lt;=IF($F9="",W$4,MIN(W$4,$F9)))*1+AND(WORKDAY(EOMONTH(W$4,0)+1,-3)&lt;&gt;WORKDAY(EOMONTH(W$3,0)+1,-3),WORKDAY(EOMONTH(W$4,0)+1,-3)&gt;=MAX(W$3,$E9),WORKDAY(EOMONTH(W$4,0)+1,-3)&lt;=IF($F9="",W$4,MIN(W$4,$F9)))*1),IF(AND(IF(EDATE($E9,MAX(0,ROUNDUP(((YEAR(W$3)-YEAR($E9))*12+MONTH(W$3)-MONTH($E9))/$G9,0)*$G9))&lt;W$3,EDATE($E9,MAX(0,ROUNDUP(((YEAR(W$3)-YEAR($E9))*12+MONTH(W$3)-MONTH($E9))/$G9,0)*$G9)+$G9),EDATE($E9,MAX(0,ROUNDUP(((YEAR(W$3)-YEAR($E9))*12+MONTH(W$3)-MONTH($E9))/$G9,0)*$G9)))&gt;=W$3,IF(EDATE($E9,MAX(0,ROUNDUP(((YEAR(W$3)-YEAR($E9))*12+MONTH(W$3)-MONTH($E9))/$G9,0)*$G9))&lt;W$3,EDATE($E9,MAX(0,ROUNDUP(((YEAR(W$3)-YEAR($E9))*12+MONTH(W$3)-MONTH($E9))/$G9,0)*$G9)+$G9),EDATE($E9,MAX(0,ROUNDUP(((YEAR(W$3)-YEAR($E9))*12+MONTH(W$3)-MONTH($E9))/$G9,0)*$G9)))&lt;=IF($F9="",W$4,MIN(W$4,$F9))),1,0)))))</f>
        <v>0</v>
      </c>
      <c r="X9" s="25" t="n">
        <f aca="false">IF(OR($C9="",$C9=0,$E9="",$B9="",$G9=-2),0,$C9*IF($G9=0,IF(IF($F9="",X$4,MIN(X$4,$F9))&lt;$E9,0,MAX(0,INT((IF($F9="",X$4,MIN(X$4,$F9))-$E9)/7)+1-MAX(0,ROUNDUP((X$3-$E9)/7,0)))),IF($G9=101,(AND(EOMONTH(X$3,0)&gt;=MAX(X$3,$E9),EOMONTH(X$3,0)&lt;=IF($F9="",X$4,MIN(X$4,$F9)))*1+AND(EOMONTH(X$4,0)&lt;&gt;EOMONTH(X$3,0),EOMONTH(X$4,0)&gt;=MAX(X$3,$E9),EOMONTH(X$4,0)&lt;=IF($F9="",X$4,MIN(X$4,$F9)))*1),IF($G9=102,(AND(WORKDAY(EOMONTH(X$3,0)+1,-3)&gt;=MAX(X$3,$E9),WORKDAY(EOMONTH(X$3,0)+1,-3)&lt;=IF($F9="",X$4,MIN(X$4,$F9)))*1+AND(WORKDAY(EOMONTH(X$4,0)+1,-3)&lt;&gt;WORKDAY(EOMONTH(X$3,0)+1,-3),WORKDAY(EOMONTH(X$4,0)+1,-3)&gt;=MAX(X$3,$E9),WORKDAY(EOMONTH(X$4,0)+1,-3)&lt;=IF($F9="",X$4,MIN(X$4,$F9)))*1),IF(AND(IF(EDATE($E9,MAX(0,ROUNDUP(((YEAR(X$3)-YEAR($E9))*12+MONTH(X$3)-MONTH($E9))/$G9,0)*$G9))&lt;X$3,EDATE($E9,MAX(0,ROUNDUP(((YEAR(X$3)-YEAR($E9))*12+MONTH(X$3)-MONTH($E9))/$G9,0)*$G9)+$G9),EDATE($E9,MAX(0,ROUNDUP(((YEAR(X$3)-YEAR($E9))*12+MONTH(X$3)-MONTH($E9))/$G9,0)*$G9)))&gt;=X$3,IF(EDATE($E9,MAX(0,ROUNDUP(((YEAR(X$3)-YEAR($E9))*12+MONTH(X$3)-MONTH($E9))/$G9,0)*$G9))&lt;X$3,EDATE($E9,MAX(0,ROUNDUP(((YEAR(X$3)-YEAR($E9))*12+MONTH(X$3)-MONTH($E9))/$G9,0)*$G9)+$G9),EDATE($E9,MAX(0,ROUNDUP(((YEAR(X$3)-YEAR($E9))*12+MONTH(X$3)-MONTH($E9))/$G9,0)*$G9)))&lt;=IF($F9="",X$4,MIN(X$4,$F9))),1,0)))))</f>
        <v>0</v>
      </c>
      <c r="Y9" s="25" t="n">
        <f aca="false">IF(OR($C9="",$C9=0,$E9="",$B9="",$G9=-2),0,$C9*IF($G9=0,IF(IF($F9="",Y$4,MIN(Y$4,$F9))&lt;$E9,0,MAX(0,INT((IF($F9="",Y$4,MIN(Y$4,$F9))-$E9)/7)+1-MAX(0,ROUNDUP((Y$3-$E9)/7,0)))),IF($G9=101,(AND(EOMONTH(Y$3,0)&gt;=MAX(Y$3,$E9),EOMONTH(Y$3,0)&lt;=IF($F9="",Y$4,MIN(Y$4,$F9)))*1+AND(EOMONTH(Y$4,0)&lt;&gt;EOMONTH(Y$3,0),EOMONTH(Y$4,0)&gt;=MAX(Y$3,$E9),EOMONTH(Y$4,0)&lt;=IF($F9="",Y$4,MIN(Y$4,$F9)))*1),IF($G9=102,(AND(WORKDAY(EOMONTH(Y$3,0)+1,-3)&gt;=MAX(Y$3,$E9),WORKDAY(EOMONTH(Y$3,0)+1,-3)&lt;=IF($F9="",Y$4,MIN(Y$4,$F9)))*1+AND(WORKDAY(EOMONTH(Y$4,0)+1,-3)&lt;&gt;WORKDAY(EOMONTH(Y$3,0)+1,-3),WORKDAY(EOMONTH(Y$4,0)+1,-3)&gt;=MAX(Y$3,$E9),WORKDAY(EOMONTH(Y$4,0)+1,-3)&lt;=IF($F9="",Y$4,MIN(Y$4,$F9)))*1),IF(AND(IF(EDATE($E9,MAX(0,ROUNDUP(((YEAR(Y$3)-YEAR($E9))*12+MONTH(Y$3)-MONTH($E9))/$G9,0)*$G9))&lt;Y$3,EDATE($E9,MAX(0,ROUNDUP(((YEAR(Y$3)-YEAR($E9))*12+MONTH(Y$3)-MONTH($E9))/$G9,0)*$G9)+$G9),EDATE($E9,MAX(0,ROUNDUP(((YEAR(Y$3)-YEAR($E9))*12+MONTH(Y$3)-MONTH($E9))/$G9,0)*$G9)))&gt;=Y$3,IF(EDATE($E9,MAX(0,ROUNDUP(((YEAR(Y$3)-YEAR($E9))*12+MONTH(Y$3)-MONTH($E9))/$G9,0)*$G9))&lt;Y$3,EDATE($E9,MAX(0,ROUNDUP(((YEAR(Y$3)-YEAR($E9))*12+MONTH(Y$3)-MONTH($E9))/$G9,0)*$G9)+$G9),EDATE($E9,MAX(0,ROUNDUP(((YEAR(Y$3)-YEAR($E9))*12+MONTH(Y$3)-MONTH($E9))/$G9,0)*$G9)))&lt;=IF($F9="",Y$4,MIN(Y$4,$F9))),1,0)))))</f>
        <v>0</v>
      </c>
      <c r="Z9" s="25" t="n">
        <f aca="false">IF(OR($C9="",$C9=0,$E9="",$B9="",$G9=-2),0,$C9*IF($G9=0,IF(IF($F9="",Z$4,MIN(Z$4,$F9))&lt;$E9,0,MAX(0,INT((IF($F9="",Z$4,MIN(Z$4,$F9))-$E9)/7)+1-MAX(0,ROUNDUP((Z$3-$E9)/7,0)))),IF($G9=101,(AND(EOMONTH(Z$3,0)&gt;=MAX(Z$3,$E9),EOMONTH(Z$3,0)&lt;=IF($F9="",Z$4,MIN(Z$4,$F9)))*1+AND(EOMONTH(Z$4,0)&lt;&gt;EOMONTH(Z$3,0),EOMONTH(Z$4,0)&gt;=MAX(Z$3,$E9),EOMONTH(Z$4,0)&lt;=IF($F9="",Z$4,MIN(Z$4,$F9)))*1),IF($G9=102,(AND(WORKDAY(EOMONTH(Z$3,0)+1,-3)&gt;=MAX(Z$3,$E9),WORKDAY(EOMONTH(Z$3,0)+1,-3)&lt;=IF($F9="",Z$4,MIN(Z$4,$F9)))*1+AND(WORKDAY(EOMONTH(Z$4,0)+1,-3)&lt;&gt;WORKDAY(EOMONTH(Z$3,0)+1,-3),WORKDAY(EOMONTH(Z$4,0)+1,-3)&gt;=MAX(Z$3,$E9),WORKDAY(EOMONTH(Z$4,0)+1,-3)&lt;=IF($F9="",Z$4,MIN(Z$4,$F9)))*1),IF(AND(IF(EDATE($E9,MAX(0,ROUNDUP(((YEAR(Z$3)-YEAR($E9))*12+MONTH(Z$3)-MONTH($E9))/$G9,0)*$G9))&lt;Z$3,EDATE($E9,MAX(0,ROUNDUP(((YEAR(Z$3)-YEAR($E9))*12+MONTH(Z$3)-MONTH($E9))/$G9,0)*$G9)+$G9),EDATE($E9,MAX(0,ROUNDUP(((YEAR(Z$3)-YEAR($E9))*12+MONTH(Z$3)-MONTH($E9))/$G9,0)*$G9)))&gt;=Z$3,IF(EDATE($E9,MAX(0,ROUNDUP(((YEAR(Z$3)-YEAR($E9))*12+MONTH(Z$3)-MONTH($E9))/$G9,0)*$G9))&lt;Z$3,EDATE($E9,MAX(0,ROUNDUP(((YEAR(Z$3)-YEAR($E9))*12+MONTH(Z$3)-MONTH($E9))/$G9,0)*$G9)+$G9),EDATE($E9,MAX(0,ROUNDUP(((YEAR(Z$3)-YEAR($E9))*12+MONTH(Z$3)-MONTH($E9))/$G9,0)*$G9)))&lt;=IF($F9="",Z$4,MIN(Z$4,$F9))),1,0)))))</f>
        <v>0</v>
      </c>
      <c r="AA9" s="25" t="n">
        <f aca="false">IF(OR($C9="",$C9=0,$E9="",$B9="",$G9=-2),0,$C9*IF($G9=0,IF(IF($F9="",AA$4,MIN(AA$4,$F9))&lt;$E9,0,MAX(0,INT((IF($F9="",AA$4,MIN(AA$4,$F9))-$E9)/7)+1-MAX(0,ROUNDUP((AA$3-$E9)/7,0)))),IF($G9=101,(AND(EOMONTH(AA$3,0)&gt;=MAX(AA$3,$E9),EOMONTH(AA$3,0)&lt;=IF($F9="",AA$4,MIN(AA$4,$F9)))*1+AND(EOMONTH(AA$4,0)&lt;&gt;EOMONTH(AA$3,0),EOMONTH(AA$4,0)&gt;=MAX(AA$3,$E9),EOMONTH(AA$4,0)&lt;=IF($F9="",AA$4,MIN(AA$4,$F9)))*1),IF($G9=102,(AND(WORKDAY(EOMONTH(AA$3,0)+1,-3)&gt;=MAX(AA$3,$E9),WORKDAY(EOMONTH(AA$3,0)+1,-3)&lt;=IF($F9="",AA$4,MIN(AA$4,$F9)))*1+AND(WORKDAY(EOMONTH(AA$4,0)+1,-3)&lt;&gt;WORKDAY(EOMONTH(AA$3,0)+1,-3),WORKDAY(EOMONTH(AA$4,0)+1,-3)&gt;=MAX(AA$3,$E9),WORKDAY(EOMONTH(AA$4,0)+1,-3)&lt;=IF($F9="",AA$4,MIN(AA$4,$F9)))*1),IF(AND(IF(EDATE($E9,MAX(0,ROUNDUP(((YEAR(AA$3)-YEAR($E9))*12+MONTH(AA$3)-MONTH($E9))/$G9,0)*$G9))&lt;AA$3,EDATE($E9,MAX(0,ROUNDUP(((YEAR(AA$3)-YEAR($E9))*12+MONTH(AA$3)-MONTH($E9))/$G9,0)*$G9)+$G9),EDATE($E9,MAX(0,ROUNDUP(((YEAR(AA$3)-YEAR($E9))*12+MONTH(AA$3)-MONTH($E9))/$G9,0)*$G9)))&gt;=AA$3,IF(EDATE($E9,MAX(0,ROUNDUP(((YEAR(AA$3)-YEAR($E9))*12+MONTH(AA$3)-MONTH($E9))/$G9,0)*$G9))&lt;AA$3,EDATE($E9,MAX(0,ROUNDUP(((YEAR(AA$3)-YEAR($E9))*12+MONTH(AA$3)-MONTH($E9))/$G9,0)*$G9)+$G9),EDATE($E9,MAX(0,ROUNDUP(((YEAR(AA$3)-YEAR($E9))*12+MONTH(AA$3)-MONTH($E9))/$G9,0)*$G9)))&lt;=IF($F9="",AA$4,MIN(AA$4,$F9))),1,0)))))</f>
        <v>0</v>
      </c>
      <c r="AB9" s="25" t="n">
        <f aca="false">IF(OR($C9="",$C9=0,$E9="",$B9="",$G9=-2),0,$C9*IF($G9=0,IF(IF($F9="",AB$4,MIN(AB$4,$F9))&lt;$E9,0,MAX(0,INT((IF($F9="",AB$4,MIN(AB$4,$F9))-$E9)/7)+1-MAX(0,ROUNDUP((AB$3-$E9)/7,0)))),IF($G9=101,(AND(EOMONTH(AB$3,0)&gt;=MAX(AB$3,$E9),EOMONTH(AB$3,0)&lt;=IF($F9="",AB$4,MIN(AB$4,$F9)))*1+AND(EOMONTH(AB$4,0)&lt;&gt;EOMONTH(AB$3,0),EOMONTH(AB$4,0)&gt;=MAX(AB$3,$E9),EOMONTH(AB$4,0)&lt;=IF($F9="",AB$4,MIN(AB$4,$F9)))*1),IF($G9=102,(AND(WORKDAY(EOMONTH(AB$3,0)+1,-3)&gt;=MAX(AB$3,$E9),WORKDAY(EOMONTH(AB$3,0)+1,-3)&lt;=IF($F9="",AB$4,MIN(AB$4,$F9)))*1+AND(WORKDAY(EOMONTH(AB$4,0)+1,-3)&lt;&gt;WORKDAY(EOMONTH(AB$3,0)+1,-3),WORKDAY(EOMONTH(AB$4,0)+1,-3)&gt;=MAX(AB$3,$E9),WORKDAY(EOMONTH(AB$4,0)+1,-3)&lt;=IF($F9="",AB$4,MIN(AB$4,$F9)))*1),IF(AND(IF(EDATE($E9,MAX(0,ROUNDUP(((YEAR(AB$3)-YEAR($E9))*12+MONTH(AB$3)-MONTH($E9))/$G9,0)*$G9))&lt;AB$3,EDATE($E9,MAX(0,ROUNDUP(((YEAR(AB$3)-YEAR($E9))*12+MONTH(AB$3)-MONTH($E9))/$G9,0)*$G9)+$G9),EDATE($E9,MAX(0,ROUNDUP(((YEAR(AB$3)-YEAR($E9))*12+MONTH(AB$3)-MONTH($E9))/$G9,0)*$G9)))&gt;=AB$3,IF(EDATE($E9,MAX(0,ROUNDUP(((YEAR(AB$3)-YEAR($E9))*12+MONTH(AB$3)-MONTH($E9))/$G9,0)*$G9))&lt;AB$3,EDATE($E9,MAX(0,ROUNDUP(((YEAR(AB$3)-YEAR($E9))*12+MONTH(AB$3)-MONTH($E9))/$G9,0)*$G9)+$G9),EDATE($E9,MAX(0,ROUNDUP(((YEAR(AB$3)-YEAR($E9))*12+MONTH(AB$3)-MONTH($E9))/$G9,0)*$G9)))&lt;=IF($F9="",AB$4,MIN(AB$4,$F9))),1,0)))))</f>
        <v>0</v>
      </c>
      <c r="AC9" s="25" t="n">
        <f aca="false">IF(OR($C9="",$C9=0,$E9="",$B9="",$G9=-2),0,$C9*IF($G9=0,IF(IF($F9="",AC$4,MIN(AC$4,$F9))&lt;$E9,0,MAX(0,INT((IF($F9="",AC$4,MIN(AC$4,$F9))-$E9)/7)+1-MAX(0,ROUNDUP((AC$3-$E9)/7,0)))),IF($G9=101,(AND(EOMONTH(AC$3,0)&gt;=MAX(AC$3,$E9),EOMONTH(AC$3,0)&lt;=IF($F9="",AC$4,MIN(AC$4,$F9)))*1+AND(EOMONTH(AC$4,0)&lt;&gt;EOMONTH(AC$3,0),EOMONTH(AC$4,0)&gt;=MAX(AC$3,$E9),EOMONTH(AC$4,0)&lt;=IF($F9="",AC$4,MIN(AC$4,$F9)))*1),IF($G9=102,(AND(WORKDAY(EOMONTH(AC$3,0)+1,-3)&gt;=MAX(AC$3,$E9),WORKDAY(EOMONTH(AC$3,0)+1,-3)&lt;=IF($F9="",AC$4,MIN(AC$4,$F9)))*1+AND(WORKDAY(EOMONTH(AC$4,0)+1,-3)&lt;&gt;WORKDAY(EOMONTH(AC$3,0)+1,-3),WORKDAY(EOMONTH(AC$4,0)+1,-3)&gt;=MAX(AC$3,$E9),WORKDAY(EOMONTH(AC$4,0)+1,-3)&lt;=IF($F9="",AC$4,MIN(AC$4,$F9)))*1),IF(AND(IF(EDATE($E9,MAX(0,ROUNDUP(((YEAR(AC$3)-YEAR($E9))*12+MONTH(AC$3)-MONTH($E9))/$G9,0)*$G9))&lt;AC$3,EDATE($E9,MAX(0,ROUNDUP(((YEAR(AC$3)-YEAR($E9))*12+MONTH(AC$3)-MONTH($E9))/$G9,0)*$G9)+$G9),EDATE($E9,MAX(0,ROUNDUP(((YEAR(AC$3)-YEAR($E9))*12+MONTH(AC$3)-MONTH($E9))/$G9,0)*$G9)))&gt;=AC$3,IF(EDATE($E9,MAX(0,ROUNDUP(((YEAR(AC$3)-YEAR($E9))*12+MONTH(AC$3)-MONTH($E9))/$G9,0)*$G9))&lt;AC$3,EDATE($E9,MAX(0,ROUNDUP(((YEAR(AC$3)-YEAR($E9))*12+MONTH(AC$3)-MONTH($E9))/$G9,0)*$G9)+$G9),EDATE($E9,MAX(0,ROUNDUP(((YEAR(AC$3)-YEAR($E9))*12+MONTH(AC$3)-MONTH($E9))/$G9,0)*$G9)))&lt;=IF($F9="",AC$4,MIN(AC$4,$F9))),1,0)))))</f>
        <v>0</v>
      </c>
      <c r="AD9" s="25" t="n">
        <f aca="false">IF(OR($C9="",$C9=0,$E9="",$B9="",$G9=-2),0,$C9*IF($G9=0,IF(IF($F9="",AD$4,MIN(AD$4,$F9))&lt;$E9,0,MAX(0,INT((IF($F9="",AD$4,MIN(AD$4,$F9))-$E9)/7)+1-MAX(0,ROUNDUP((AD$3-$E9)/7,0)))),IF($G9=101,(AND(EOMONTH(AD$3,0)&gt;=MAX(AD$3,$E9),EOMONTH(AD$3,0)&lt;=IF($F9="",AD$4,MIN(AD$4,$F9)))*1+AND(EOMONTH(AD$4,0)&lt;&gt;EOMONTH(AD$3,0),EOMONTH(AD$4,0)&gt;=MAX(AD$3,$E9),EOMONTH(AD$4,0)&lt;=IF($F9="",AD$4,MIN(AD$4,$F9)))*1),IF($G9=102,(AND(WORKDAY(EOMONTH(AD$3,0)+1,-3)&gt;=MAX(AD$3,$E9),WORKDAY(EOMONTH(AD$3,0)+1,-3)&lt;=IF($F9="",AD$4,MIN(AD$4,$F9)))*1+AND(WORKDAY(EOMONTH(AD$4,0)+1,-3)&lt;&gt;WORKDAY(EOMONTH(AD$3,0)+1,-3),WORKDAY(EOMONTH(AD$4,0)+1,-3)&gt;=MAX(AD$3,$E9),WORKDAY(EOMONTH(AD$4,0)+1,-3)&lt;=IF($F9="",AD$4,MIN(AD$4,$F9)))*1),IF(AND(IF(EDATE($E9,MAX(0,ROUNDUP(((YEAR(AD$3)-YEAR($E9))*12+MONTH(AD$3)-MONTH($E9))/$G9,0)*$G9))&lt;AD$3,EDATE($E9,MAX(0,ROUNDUP(((YEAR(AD$3)-YEAR($E9))*12+MONTH(AD$3)-MONTH($E9))/$G9,0)*$G9)+$G9),EDATE($E9,MAX(0,ROUNDUP(((YEAR(AD$3)-YEAR($E9))*12+MONTH(AD$3)-MONTH($E9))/$G9,0)*$G9)))&gt;=AD$3,IF(EDATE($E9,MAX(0,ROUNDUP(((YEAR(AD$3)-YEAR($E9))*12+MONTH(AD$3)-MONTH($E9))/$G9,0)*$G9))&lt;AD$3,EDATE($E9,MAX(0,ROUNDUP(((YEAR(AD$3)-YEAR($E9))*12+MONTH(AD$3)-MONTH($E9))/$G9,0)*$G9)+$G9),EDATE($E9,MAX(0,ROUNDUP(((YEAR(AD$3)-YEAR($E9))*12+MONTH(AD$3)-MONTH($E9))/$G9,0)*$G9)))&lt;=IF($F9="",AD$4,MIN(AD$4,$F9))),1,0)))))</f>
        <v>0</v>
      </c>
      <c r="AE9" s="25" t="n">
        <f aca="false">IF(OR($C9="",$C9=0,$E9="",$B9="",$G9=-2),0,$C9*IF($G9=0,IF(IF($F9="",AE$4,MIN(AE$4,$F9))&lt;$E9,0,MAX(0,INT((IF($F9="",AE$4,MIN(AE$4,$F9))-$E9)/7)+1-MAX(0,ROUNDUP((AE$3-$E9)/7,0)))),IF($G9=101,(AND(EOMONTH(AE$3,0)&gt;=MAX(AE$3,$E9),EOMONTH(AE$3,0)&lt;=IF($F9="",AE$4,MIN(AE$4,$F9)))*1+AND(EOMONTH(AE$4,0)&lt;&gt;EOMONTH(AE$3,0),EOMONTH(AE$4,0)&gt;=MAX(AE$3,$E9),EOMONTH(AE$4,0)&lt;=IF($F9="",AE$4,MIN(AE$4,$F9)))*1),IF($G9=102,(AND(WORKDAY(EOMONTH(AE$3,0)+1,-3)&gt;=MAX(AE$3,$E9),WORKDAY(EOMONTH(AE$3,0)+1,-3)&lt;=IF($F9="",AE$4,MIN(AE$4,$F9)))*1+AND(WORKDAY(EOMONTH(AE$4,0)+1,-3)&lt;&gt;WORKDAY(EOMONTH(AE$3,0)+1,-3),WORKDAY(EOMONTH(AE$4,0)+1,-3)&gt;=MAX(AE$3,$E9),WORKDAY(EOMONTH(AE$4,0)+1,-3)&lt;=IF($F9="",AE$4,MIN(AE$4,$F9)))*1),IF(AND(IF(EDATE($E9,MAX(0,ROUNDUP(((YEAR(AE$3)-YEAR($E9))*12+MONTH(AE$3)-MONTH($E9))/$G9,0)*$G9))&lt;AE$3,EDATE($E9,MAX(0,ROUNDUP(((YEAR(AE$3)-YEAR($E9))*12+MONTH(AE$3)-MONTH($E9))/$G9,0)*$G9)+$G9),EDATE($E9,MAX(0,ROUNDUP(((YEAR(AE$3)-YEAR($E9))*12+MONTH(AE$3)-MONTH($E9))/$G9,0)*$G9)))&gt;=AE$3,IF(EDATE($E9,MAX(0,ROUNDUP(((YEAR(AE$3)-YEAR($E9))*12+MONTH(AE$3)-MONTH($E9))/$G9,0)*$G9))&lt;AE$3,EDATE($E9,MAX(0,ROUNDUP(((YEAR(AE$3)-YEAR($E9))*12+MONTH(AE$3)-MONTH($E9))/$G9,0)*$G9)+$G9),EDATE($E9,MAX(0,ROUNDUP(((YEAR(AE$3)-YEAR($E9))*12+MONTH(AE$3)-MONTH($E9))/$G9,0)*$G9)))&lt;=IF($F9="",AE$4,MIN(AE$4,$F9))),1,0)))))</f>
        <v>0</v>
      </c>
      <c r="AF9" s="25" t="n">
        <f aca="false">IF(OR($C9="",$C9=0,$E9="",$B9="",$G9=-2),0,$C9*IF($G9=0,IF(IF($F9="",AF$4,MIN(AF$4,$F9))&lt;$E9,0,MAX(0,INT((IF($F9="",AF$4,MIN(AF$4,$F9))-$E9)/7)+1-MAX(0,ROUNDUP((AF$3-$E9)/7,0)))),IF($G9=101,(AND(EOMONTH(AF$3,0)&gt;=MAX(AF$3,$E9),EOMONTH(AF$3,0)&lt;=IF($F9="",AF$4,MIN(AF$4,$F9)))*1+AND(EOMONTH(AF$4,0)&lt;&gt;EOMONTH(AF$3,0),EOMONTH(AF$4,0)&gt;=MAX(AF$3,$E9),EOMONTH(AF$4,0)&lt;=IF($F9="",AF$4,MIN(AF$4,$F9)))*1),IF($G9=102,(AND(WORKDAY(EOMONTH(AF$3,0)+1,-3)&gt;=MAX(AF$3,$E9),WORKDAY(EOMONTH(AF$3,0)+1,-3)&lt;=IF($F9="",AF$4,MIN(AF$4,$F9)))*1+AND(WORKDAY(EOMONTH(AF$4,0)+1,-3)&lt;&gt;WORKDAY(EOMONTH(AF$3,0)+1,-3),WORKDAY(EOMONTH(AF$4,0)+1,-3)&gt;=MAX(AF$3,$E9),WORKDAY(EOMONTH(AF$4,0)+1,-3)&lt;=IF($F9="",AF$4,MIN(AF$4,$F9)))*1),IF(AND(IF(EDATE($E9,MAX(0,ROUNDUP(((YEAR(AF$3)-YEAR($E9))*12+MONTH(AF$3)-MONTH($E9))/$G9,0)*$G9))&lt;AF$3,EDATE($E9,MAX(0,ROUNDUP(((YEAR(AF$3)-YEAR($E9))*12+MONTH(AF$3)-MONTH($E9))/$G9,0)*$G9)+$G9),EDATE($E9,MAX(0,ROUNDUP(((YEAR(AF$3)-YEAR($E9))*12+MONTH(AF$3)-MONTH($E9))/$G9,0)*$G9)))&gt;=AF$3,IF(EDATE($E9,MAX(0,ROUNDUP(((YEAR(AF$3)-YEAR($E9))*12+MONTH(AF$3)-MONTH($E9))/$G9,0)*$G9))&lt;AF$3,EDATE($E9,MAX(0,ROUNDUP(((YEAR(AF$3)-YEAR($E9))*12+MONTH(AF$3)-MONTH($E9))/$G9,0)*$G9)+$G9),EDATE($E9,MAX(0,ROUNDUP(((YEAR(AF$3)-YEAR($E9))*12+MONTH(AF$3)-MONTH($E9))/$G9,0)*$G9)))&lt;=IF($F9="",AF$4,MIN(AF$4,$F9))),1,0)))))</f>
        <v>0</v>
      </c>
    </row>
    <row r="10" customFormat="false" ht="15" hidden="false" customHeight="false" outlineLevel="0" collapsed="false">
      <c r="A10" s="5"/>
      <c r="B10" s="5"/>
      <c r="C10" s="8"/>
      <c r="D10" s="5"/>
      <c r="E10" s="7"/>
      <c r="F10" s="7"/>
      <c r="G10" s="24" t="n">
        <f aca="false">IFERROR(INDEX(Listen!$E$2:$E$8,MATCH(D10,Listen!$D$2:$D$8,0)),-2)</f>
        <v>-2</v>
      </c>
      <c r="H10" s="25" t="n">
        <f aca="false">IF(OR($C10="",$C10=0,$E10="",$B10="",$G10=-2),0,$C10*IF($G10=0,IF(IF($F10="",H$4,MIN(H$4,$F10))&lt;$E10,0,MAX(0,INT((IF($F10="",H$4,MIN(H$4,$F10))-$E10)/7)+1-MAX(0,ROUNDUP((H$3-$E10)/7,0)))),IF($G10=101,(AND(EOMONTH(H$3,0)&gt;=MAX(H$3,$E10),EOMONTH(H$3,0)&lt;=IF($F10="",H$4,MIN(H$4,$F10)))*1+AND(EOMONTH(H$4,0)&lt;&gt;EOMONTH(H$3,0),EOMONTH(H$4,0)&gt;=MAX(H$3,$E10),EOMONTH(H$4,0)&lt;=IF($F10="",H$4,MIN(H$4,$F10)))*1),IF($G10=102,(AND(WORKDAY(EOMONTH(H$3,0)+1,-3)&gt;=MAX(H$3,$E10),WORKDAY(EOMONTH(H$3,0)+1,-3)&lt;=IF($F10="",H$4,MIN(H$4,$F10)))*1+AND(WORKDAY(EOMONTH(H$4,0)+1,-3)&lt;&gt;WORKDAY(EOMONTH(H$3,0)+1,-3),WORKDAY(EOMONTH(H$4,0)+1,-3)&gt;=MAX(H$3,$E10),WORKDAY(EOMONTH(H$4,0)+1,-3)&lt;=IF($F10="",H$4,MIN(H$4,$F10)))*1),IF(AND(IF(EDATE($E10,MAX(0,ROUNDUP(((YEAR(H$3)-YEAR($E10))*12+MONTH(H$3)-MONTH($E10))/$G10,0)*$G10))&lt;H$3,EDATE($E10,MAX(0,ROUNDUP(((YEAR(H$3)-YEAR($E10))*12+MONTH(H$3)-MONTH($E10))/$G10,0)*$G10)+$G10),EDATE($E10,MAX(0,ROUNDUP(((YEAR(H$3)-YEAR($E10))*12+MONTH(H$3)-MONTH($E10))/$G10,0)*$G10)))&gt;=H$3,IF(EDATE($E10,MAX(0,ROUNDUP(((YEAR(H$3)-YEAR($E10))*12+MONTH(H$3)-MONTH($E10))/$G10,0)*$G10))&lt;H$3,EDATE($E10,MAX(0,ROUNDUP(((YEAR(H$3)-YEAR($E10))*12+MONTH(H$3)-MONTH($E10))/$G10,0)*$G10)+$G10),EDATE($E10,MAX(0,ROUNDUP(((YEAR(H$3)-YEAR($E10))*12+MONTH(H$3)-MONTH($E10))/$G10,0)*$G10)))&lt;=IF($F10="",H$4,MIN(H$4,$F10))),1,0)))))</f>
        <v>0</v>
      </c>
      <c r="I10" s="25" t="n">
        <f aca="false">IF(OR($C10="",$C10=0,$E10="",$B10="",$G10=-2),0,$C10*IF($G10=0,IF(IF($F10="",I$4,MIN(I$4,$F10))&lt;$E10,0,MAX(0,INT((IF($F10="",I$4,MIN(I$4,$F10))-$E10)/7)+1-MAX(0,ROUNDUP((I$3-$E10)/7,0)))),IF($G10=101,(AND(EOMONTH(I$3,0)&gt;=MAX(I$3,$E10),EOMONTH(I$3,0)&lt;=IF($F10="",I$4,MIN(I$4,$F10)))*1+AND(EOMONTH(I$4,0)&lt;&gt;EOMONTH(I$3,0),EOMONTH(I$4,0)&gt;=MAX(I$3,$E10),EOMONTH(I$4,0)&lt;=IF($F10="",I$4,MIN(I$4,$F10)))*1),IF($G10=102,(AND(WORKDAY(EOMONTH(I$3,0)+1,-3)&gt;=MAX(I$3,$E10),WORKDAY(EOMONTH(I$3,0)+1,-3)&lt;=IF($F10="",I$4,MIN(I$4,$F10)))*1+AND(WORKDAY(EOMONTH(I$4,0)+1,-3)&lt;&gt;WORKDAY(EOMONTH(I$3,0)+1,-3),WORKDAY(EOMONTH(I$4,0)+1,-3)&gt;=MAX(I$3,$E10),WORKDAY(EOMONTH(I$4,0)+1,-3)&lt;=IF($F10="",I$4,MIN(I$4,$F10)))*1),IF(AND(IF(EDATE($E10,MAX(0,ROUNDUP(((YEAR(I$3)-YEAR($E10))*12+MONTH(I$3)-MONTH($E10))/$G10,0)*$G10))&lt;I$3,EDATE($E10,MAX(0,ROUNDUP(((YEAR(I$3)-YEAR($E10))*12+MONTH(I$3)-MONTH($E10))/$G10,0)*$G10)+$G10),EDATE($E10,MAX(0,ROUNDUP(((YEAR(I$3)-YEAR($E10))*12+MONTH(I$3)-MONTH($E10))/$G10,0)*$G10)))&gt;=I$3,IF(EDATE($E10,MAX(0,ROUNDUP(((YEAR(I$3)-YEAR($E10))*12+MONTH(I$3)-MONTH($E10))/$G10,0)*$G10))&lt;I$3,EDATE($E10,MAX(0,ROUNDUP(((YEAR(I$3)-YEAR($E10))*12+MONTH(I$3)-MONTH($E10))/$G10,0)*$G10)+$G10),EDATE($E10,MAX(0,ROUNDUP(((YEAR(I$3)-YEAR($E10))*12+MONTH(I$3)-MONTH($E10))/$G10,0)*$G10)))&lt;=IF($F10="",I$4,MIN(I$4,$F10))),1,0)))))</f>
        <v>0</v>
      </c>
      <c r="J10" s="25" t="n">
        <f aca="false">IF(OR($C10="",$C10=0,$E10="",$B10="",$G10=-2),0,$C10*IF($G10=0,IF(IF($F10="",J$4,MIN(J$4,$F10))&lt;$E10,0,MAX(0,INT((IF($F10="",J$4,MIN(J$4,$F10))-$E10)/7)+1-MAX(0,ROUNDUP((J$3-$E10)/7,0)))),IF($G10=101,(AND(EOMONTH(J$3,0)&gt;=MAX(J$3,$E10),EOMONTH(J$3,0)&lt;=IF($F10="",J$4,MIN(J$4,$F10)))*1+AND(EOMONTH(J$4,0)&lt;&gt;EOMONTH(J$3,0),EOMONTH(J$4,0)&gt;=MAX(J$3,$E10),EOMONTH(J$4,0)&lt;=IF($F10="",J$4,MIN(J$4,$F10)))*1),IF($G10=102,(AND(WORKDAY(EOMONTH(J$3,0)+1,-3)&gt;=MAX(J$3,$E10),WORKDAY(EOMONTH(J$3,0)+1,-3)&lt;=IF($F10="",J$4,MIN(J$4,$F10)))*1+AND(WORKDAY(EOMONTH(J$4,0)+1,-3)&lt;&gt;WORKDAY(EOMONTH(J$3,0)+1,-3),WORKDAY(EOMONTH(J$4,0)+1,-3)&gt;=MAX(J$3,$E10),WORKDAY(EOMONTH(J$4,0)+1,-3)&lt;=IF($F10="",J$4,MIN(J$4,$F10)))*1),IF(AND(IF(EDATE($E10,MAX(0,ROUNDUP(((YEAR(J$3)-YEAR($E10))*12+MONTH(J$3)-MONTH($E10))/$G10,0)*$G10))&lt;J$3,EDATE($E10,MAX(0,ROUNDUP(((YEAR(J$3)-YEAR($E10))*12+MONTH(J$3)-MONTH($E10))/$G10,0)*$G10)+$G10),EDATE($E10,MAX(0,ROUNDUP(((YEAR(J$3)-YEAR($E10))*12+MONTH(J$3)-MONTH($E10))/$G10,0)*$G10)))&gt;=J$3,IF(EDATE($E10,MAX(0,ROUNDUP(((YEAR(J$3)-YEAR($E10))*12+MONTH(J$3)-MONTH($E10))/$G10,0)*$G10))&lt;J$3,EDATE($E10,MAX(0,ROUNDUP(((YEAR(J$3)-YEAR($E10))*12+MONTH(J$3)-MONTH($E10))/$G10,0)*$G10)+$G10),EDATE($E10,MAX(0,ROUNDUP(((YEAR(J$3)-YEAR($E10))*12+MONTH(J$3)-MONTH($E10))/$G10,0)*$G10)))&lt;=IF($F10="",J$4,MIN(J$4,$F10))),1,0)))))</f>
        <v>0</v>
      </c>
      <c r="K10" s="25" t="n">
        <f aca="false">IF(OR($C10="",$C10=0,$E10="",$B10="",$G10=-2),0,$C10*IF($G10=0,IF(IF($F10="",K$4,MIN(K$4,$F10))&lt;$E10,0,MAX(0,INT((IF($F10="",K$4,MIN(K$4,$F10))-$E10)/7)+1-MAX(0,ROUNDUP((K$3-$E10)/7,0)))),IF($G10=101,(AND(EOMONTH(K$3,0)&gt;=MAX(K$3,$E10),EOMONTH(K$3,0)&lt;=IF($F10="",K$4,MIN(K$4,$F10)))*1+AND(EOMONTH(K$4,0)&lt;&gt;EOMONTH(K$3,0),EOMONTH(K$4,0)&gt;=MAX(K$3,$E10),EOMONTH(K$4,0)&lt;=IF($F10="",K$4,MIN(K$4,$F10)))*1),IF($G10=102,(AND(WORKDAY(EOMONTH(K$3,0)+1,-3)&gt;=MAX(K$3,$E10),WORKDAY(EOMONTH(K$3,0)+1,-3)&lt;=IF($F10="",K$4,MIN(K$4,$F10)))*1+AND(WORKDAY(EOMONTH(K$4,0)+1,-3)&lt;&gt;WORKDAY(EOMONTH(K$3,0)+1,-3),WORKDAY(EOMONTH(K$4,0)+1,-3)&gt;=MAX(K$3,$E10),WORKDAY(EOMONTH(K$4,0)+1,-3)&lt;=IF($F10="",K$4,MIN(K$4,$F10)))*1),IF(AND(IF(EDATE($E10,MAX(0,ROUNDUP(((YEAR(K$3)-YEAR($E10))*12+MONTH(K$3)-MONTH($E10))/$G10,0)*$G10))&lt;K$3,EDATE($E10,MAX(0,ROUNDUP(((YEAR(K$3)-YEAR($E10))*12+MONTH(K$3)-MONTH($E10))/$G10,0)*$G10)+$G10),EDATE($E10,MAX(0,ROUNDUP(((YEAR(K$3)-YEAR($E10))*12+MONTH(K$3)-MONTH($E10))/$G10,0)*$G10)))&gt;=K$3,IF(EDATE($E10,MAX(0,ROUNDUP(((YEAR(K$3)-YEAR($E10))*12+MONTH(K$3)-MONTH($E10))/$G10,0)*$G10))&lt;K$3,EDATE($E10,MAX(0,ROUNDUP(((YEAR(K$3)-YEAR($E10))*12+MONTH(K$3)-MONTH($E10))/$G10,0)*$G10)+$G10),EDATE($E10,MAX(0,ROUNDUP(((YEAR(K$3)-YEAR($E10))*12+MONTH(K$3)-MONTH($E10))/$G10,0)*$G10)))&lt;=IF($F10="",K$4,MIN(K$4,$F10))),1,0)))))</f>
        <v>0</v>
      </c>
      <c r="L10" s="25" t="n">
        <f aca="false">IF(OR($C10="",$C10=0,$E10="",$B10="",$G10=-2),0,$C10*IF($G10=0,IF(IF($F10="",L$4,MIN(L$4,$F10))&lt;$E10,0,MAX(0,INT((IF($F10="",L$4,MIN(L$4,$F10))-$E10)/7)+1-MAX(0,ROUNDUP((L$3-$E10)/7,0)))),IF($G10=101,(AND(EOMONTH(L$3,0)&gt;=MAX(L$3,$E10),EOMONTH(L$3,0)&lt;=IF($F10="",L$4,MIN(L$4,$F10)))*1+AND(EOMONTH(L$4,0)&lt;&gt;EOMONTH(L$3,0),EOMONTH(L$4,0)&gt;=MAX(L$3,$E10),EOMONTH(L$4,0)&lt;=IF($F10="",L$4,MIN(L$4,$F10)))*1),IF($G10=102,(AND(WORKDAY(EOMONTH(L$3,0)+1,-3)&gt;=MAX(L$3,$E10),WORKDAY(EOMONTH(L$3,0)+1,-3)&lt;=IF($F10="",L$4,MIN(L$4,$F10)))*1+AND(WORKDAY(EOMONTH(L$4,0)+1,-3)&lt;&gt;WORKDAY(EOMONTH(L$3,0)+1,-3),WORKDAY(EOMONTH(L$4,0)+1,-3)&gt;=MAX(L$3,$E10),WORKDAY(EOMONTH(L$4,0)+1,-3)&lt;=IF($F10="",L$4,MIN(L$4,$F10)))*1),IF(AND(IF(EDATE($E10,MAX(0,ROUNDUP(((YEAR(L$3)-YEAR($E10))*12+MONTH(L$3)-MONTH($E10))/$G10,0)*$G10))&lt;L$3,EDATE($E10,MAX(0,ROUNDUP(((YEAR(L$3)-YEAR($E10))*12+MONTH(L$3)-MONTH($E10))/$G10,0)*$G10)+$G10),EDATE($E10,MAX(0,ROUNDUP(((YEAR(L$3)-YEAR($E10))*12+MONTH(L$3)-MONTH($E10))/$G10,0)*$G10)))&gt;=L$3,IF(EDATE($E10,MAX(0,ROUNDUP(((YEAR(L$3)-YEAR($E10))*12+MONTH(L$3)-MONTH($E10))/$G10,0)*$G10))&lt;L$3,EDATE($E10,MAX(0,ROUNDUP(((YEAR(L$3)-YEAR($E10))*12+MONTH(L$3)-MONTH($E10))/$G10,0)*$G10)+$G10),EDATE($E10,MAX(0,ROUNDUP(((YEAR(L$3)-YEAR($E10))*12+MONTH(L$3)-MONTH($E10))/$G10,0)*$G10)))&lt;=IF($F10="",L$4,MIN(L$4,$F10))),1,0)))))</f>
        <v>0</v>
      </c>
      <c r="M10" s="25" t="n">
        <f aca="false">IF(OR($C10="",$C10=0,$E10="",$B10="",$G10=-2),0,$C10*IF($G10=0,IF(IF($F10="",M$4,MIN(M$4,$F10))&lt;$E10,0,MAX(0,INT((IF($F10="",M$4,MIN(M$4,$F10))-$E10)/7)+1-MAX(0,ROUNDUP((M$3-$E10)/7,0)))),IF($G10=101,(AND(EOMONTH(M$3,0)&gt;=MAX(M$3,$E10),EOMONTH(M$3,0)&lt;=IF($F10="",M$4,MIN(M$4,$F10)))*1+AND(EOMONTH(M$4,0)&lt;&gt;EOMONTH(M$3,0),EOMONTH(M$4,0)&gt;=MAX(M$3,$E10),EOMONTH(M$4,0)&lt;=IF($F10="",M$4,MIN(M$4,$F10)))*1),IF($G10=102,(AND(WORKDAY(EOMONTH(M$3,0)+1,-3)&gt;=MAX(M$3,$E10),WORKDAY(EOMONTH(M$3,0)+1,-3)&lt;=IF($F10="",M$4,MIN(M$4,$F10)))*1+AND(WORKDAY(EOMONTH(M$4,0)+1,-3)&lt;&gt;WORKDAY(EOMONTH(M$3,0)+1,-3),WORKDAY(EOMONTH(M$4,0)+1,-3)&gt;=MAX(M$3,$E10),WORKDAY(EOMONTH(M$4,0)+1,-3)&lt;=IF($F10="",M$4,MIN(M$4,$F10)))*1),IF(AND(IF(EDATE($E10,MAX(0,ROUNDUP(((YEAR(M$3)-YEAR($E10))*12+MONTH(M$3)-MONTH($E10))/$G10,0)*$G10))&lt;M$3,EDATE($E10,MAX(0,ROUNDUP(((YEAR(M$3)-YEAR($E10))*12+MONTH(M$3)-MONTH($E10))/$G10,0)*$G10)+$G10),EDATE($E10,MAX(0,ROUNDUP(((YEAR(M$3)-YEAR($E10))*12+MONTH(M$3)-MONTH($E10))/$G10,0)*$G10)))&gt;=M$3,IF(EDATE($E10,MAX(0,ROUNDUP(((YEAR(M$3)-YEAR($E10))*12+MONTH(M$3)-MONTH($E10))/$G10,0)*$G10))&lt;M$3,EDATE($E10,MAX(0,ROUNDUP(((YEAR(M$3)-YEAR($E10))*12+MONTH(M$3)-MONTH($E10))/$G10,0)*$G10)+$G10),EDATE($E10,MAX(0,ROUNDUP(((YEAR(M$3)-YEAR($E10))*12+MONTH(M$3)-MONTH($E10))/$G10,0)*$G10)))&lt;=IF($F10="",M$4,MIN(M$4,$F10))),1,0)))))</f>
        <v>0</v>
      </c>
      <c r="N10" s="25" t="n">
        <f aca="false">IF(OR($C10="",$C10=0,$E10="",$B10="",$G10=-2),0,$C10*IF($G10=0,IF(IF($F10="",N$4,MIN(N$4,$F10))&lt;$E10,0,MAX(0,INT((IF($F10="",N$4,MIN(N$4,$F10))-$E10)/7)+1-MAX(0,ROUNDUP((N$3-$E10)/7,0)))),IF($G10=101,(AND(EOMONTH(N$3,0)&gt;=MAX(N$3,$E10),EOMONTH(N$3,0)&lt;=IF($F10="",N$4,MIN(N$4,$F10)))*1+AND(EOMONTH(N$4,0)&lt;&gt;EOMONTH(N$3,0),EOMONTH(N$4,0)&gt;=MAX(N$3,$E10),EOMONTH(N$4,0)&lt;=IF($F10="",N$4,MIN(N$4,$F10)))*1),IF($G10=102,(AND(WORKDAY(EOMONTH(N$3,0)+1,-3)&gt;=MAX(N$3,$E10),WORKDAY(EOMONTH(N$3,0)+1,-3)&lt;=IF($F10="",N$4,MIN(N$4,$F10)))*1+AND(WORKDAY(EOMONTH(N$4,0)+1,-3)&lt;&gt;WORKDAY(EOMONTH(N$3,0)+1,-3),WORKDAY(EOMONTH(N$4,0)+1,-3)&gt;=MAX(N$3,$E10),WORKDAY(EOMONTH(N$4,0)+1,-3)&lt;=IF($F10="",N$4,MIN(N$4,$F10)))*1),IF(AND(IF(EDATE($E10,MAX(0,ROUNDUP(((YEAR(N$3)-YEAR($E10))*12+MONTH(N$3)-MONTH($E10))/$G10,0)*$G10))&lt;N$3,EDATE($E10,MAX(0,ROUNDUP(((YEAR(N$3)-YEAR($E10))*12+MONTH(N$3)-MONTH($E10))/$G10,0)*$G10)+$G10),EDATE($E10,MAX(0,ROUNDUP(((YEAR(N$3)-YEAR($E10))*12+MONTH(N$3)-MONTH($E10))/$G10,0)*$G10)))&gt;=N$3,IF(EDATE($E10,MAX(0,ROUNDUP(((YEAR(N$3)-YEAR($E10))*12+MONTH(N$3)-MONTH($E10))/$G10,0)*$G10))&lt;N$3,EDATE($E10,MAX(0,ROUNDUP(((YEAR(N$3)-YEAR($E10))*12+MONTH(N$3)-MONTH($E10))/$G10,0)*$G10)+$G10),EDATE($E10,MAX(0,ROUNDUP(((YEAR(N$3)-YEAR($E10))*12+MONTH(N$3)-MONTH($E10))/$G10,0)*$G10)))&lt;=IF($F10="",N$4,MIN(N$4,$F10))),1,0)))))</f>
        <v>0</v>
      </c>
      <c r="O10" s="25" t="n">
        <f aca="false">IF(OR($C10="",$C10=0,$E10="",$B10="",$G10=-2),0,$C10*IF($G10=0,IF(IF($F10="",O$4,MIN(O$4,$F10))&lt;$E10,0,MAX(0,INT((IF($F10="",O$4,MIN(O$4,$F10))-$E10)/7)+1-MAX(0,ROUNDUP((O$3-$E10)/7,0)))),IF($G10=101,(AND(EOMONTH(O$3,0)&gt;=MAX(O$3,$E10),EOMONTH(O$3,0)&lt;=IF($F10="",O$4,MIN(O$4,$F10)))*1+AND(EOMONTH(O$4,0)&lt;&gt;EOMONTH(O$3,0),EOMONTH(O$4,0)&gt;=MAX(O$3,$E10),EOMONTH(O$4,0)&lt;=IF($F10="",O$4,MIN(O$4,$F10)))*1),IF($G10=102,(AND(WORKDAY(EOMONTH(O$3,0)+1,-3)&gt;=MAX(O$3,$E10),WORKDAY(EOMONTH(O$3,0)+1,-3)&lt;=IF($F10="",O$4,MIN(O$4,$F10)))*1+AND(WORKDAY(EOMONTH(O$4,0)+1,-3)&lt;&gt;WORKDAY(EOMONTH(O$3,0)+1,-3),WORKDAY(EOMONTH(O$4,0)+1,-3)&gt;=MAX(O$3,$E10),WORKDAY(EOMONTH(O$4,0)+1,-3)&lt;=IF($F10="",O$4,MIN(O$4,$F10)))*1),IF(AND(IF(EDATE($E10,MAX(0,ROUNDUP(((YEAR(O$3)-YEAR($E10))*12+MONTH(O$3)-MONTH($E10))/$G10,0)*$G10))&lt;O$3,EDATE($E10,MAX(0,ROUNDUP(((YEAR(O$3)-YEAR($E10))*12+MONTH(O$3)-MONTH($E10))/$G10,0)*$G10)+$G10),EDATE($E10,MAX(0,ROUNDUP(((YEAR(O$3)-YEAR($E10))*12+MONTH(O$3)-MONTH($E10))/$G10,0)*$G10)))&gt;=O$3,IF(EDATE($E10,MAX(0,ROUNDUP(((YEAR(O$3)-YEAR($E10))*12+MONTH(O$3)-MONTH($E10))/$G10,0)*$G10))&lt;O$3,EDATE($E10,MAX(0,ROUNDUP(((YEAR(O$3)-YEAR($E10))*12+MONTH(O$3)-MONTH($E10))/$G10,0)*$G10)+$G10),EDATE($E10,MAX(0,ROUNDUP(((YEAR(O$3)-YEAR($E10))*12+MONTH(O$3)-MONTH($E10))/$G10,0)*$G10)))&lt;=IF($F10="",O$4,MIN(O$4,$F10))),1,0)))))</f>
        <v>0</v>
      </c>
      <c r="P10" s="25" t="n">
        <f aca="false">IF(OR($C10="",$C10=0,$E10="",$B10="",$G10=-2),0,$C10*IF($G10=0,IF(IF($F10="",P$4,MIN(P$4,$F10))&lt;$E10,0,MAX(0,INT((IF($F10="",P$4,MIN(P$4,$F10))-$E10)/7)+1-MAX(0,ROUNDUP((P$3-$E10)/7,0)))),IF($G10=101,(AND(EOMONTH(P$3,0)&gt;=MAX(P$3,$E10),EOMONTH(P$3,0)&lt;=IF($F10="",P$4,MIN(P$4,$F10)))*1+AND(EOMONTH(P$4,0)&lt;&gt;EOMONTH(P$3,0),EOMONTH(P$4,0)&gt;=MAX(P$3,$E10),EOMONTH(P$4,0)&lt;=IF($F10="",P$4,MIN(P$4,$F10)))*1),IF($G10=102,(AND(WORKDAY(EOMONTH(P$3,0)+1,-3)&gt;=MAX(P$3,$E10),WORKDAY(EOMONTH(P$3,0)+1,-3)&lt;=IF($F10="",P$4,MIN(P$4,$F10)))*1+AND(WORKDAY(EOMONTH(P$4,0)+1,-3)&lt;&gt;WORKDAY(EOMONTH(P$3,0)+1,-3),WORKDAY(EOMONTH(P$4,0)+1,-3)&gt;=MAX(P$3,$E10),WORKDAY(EOMONTH(P$4,0)+1,-3)&lt;=IF($F10="",P$4,MIN(P$4,$F10)))*1),IF(AND(IF(EDATE($E10,MAX(0,ROUNDUP(((YEAR(P$3)-YEAR($E10))*12+MONTH(P$3)-MONTH($E10))/$G10,0)*$G10))&lt;P$3,EDATE($E10,MAX(0,ROUNDUP(((YEAR(P$3)-YEAR($E10))*12+MONTH(P$3)-MONTH($E10))/$G10,0)*$G10)+$G10),EDATE($E10,MAX(0,ROUNDUP(((YEAR(P$3)-YEAR($E10))*12+MONTH(P$3)-MONTH($E10))/$G10,0)*$G10)))&gt;=P$3,IF(EDATE($E10,MAX(0,ROUNDUP(((YEAR(P$3)-YEAR($E10))*12+MONTH(P$3)-MONTH($E10))/$G10,0)*$G10))&lt;P$3,EDATE($E10,MAX(0,ROUNDUP(((YEAR(P$3)-YEAR($E10))*12+MONTH(P$3)-MONTH($E10))/$G10,0)*$G10)+$G10),EDATE($E10,MAX(0,ROUNDUP(((YEAR(P$3)-YEAR($E10))*12+MONTH(P$3)-MONTH($E10))/$G10,0)*$G10)))&lt;=IF($F10="",P$4,MIN(P$4,$F10))),1,0)))))</f>
        <v>0</v>
      </c>
      <c r="Q10" s="25" t="n">
        <f aca="false">IF(OR($C10="",$C10=0,$E10="",$B10="",$G10=-2),0,$C10*IF($G10=0,IF(IF($F10="",Q$4,MIN(Q$4,$F10))&lt;$E10,0,MAX(0,INT((IF($F10="",Q$4,MIN(Q$4,$F10))-$E10)/7)+1-MAX(0,ROUNDUP((Q$3-$E10)/7,0)))),IF($G10=101,(AND(EOMONTH(Q$3,0)&gt;=MAX(Q$3,$E10),EOMONTH(Q$3,0)&lt;=IF($F10="",Q$4,MIN(Q$4,$F10)))*1+AND(EOMONTH(Q$4,0)&lt;&gt;EOMONTH(Q$3,0),EOMONTH(Q$4,0)&gt;=MAX(Q$3,$E10),EOMONTH(Q$4,0)&lt;=IF($F10="",Q$4,MIN(Q$4,$F10)))*1),IF($G10=102,(AND(WORKDAY(EOMONTH(Q$3,0)+1,-3)&gt;=MAX(Q$3,$E10),WORKDAY(EOMONTH(Q$3,0)+1,-3)&lt;=IF($F10="",Q$4,MIN(Q$4,$F10)))*1+AND(WORKDAY(EOMONTH(Q$4,0)+1,-3)&lt;&gt;WORKDAY(EOMONTH(Q$3,0)+1,-3),WORKDAY(EOMONTH(Q$4,0)+1,-3)&gt;=MAX(Q$3,$E10),WORKDAY(EOMONTH(Q$4,0)+1,-3)&lt;=IF($F10="",Q$4,MIN(Q$4,$F10)))*1),IF(AND(IF(EDATE($E10,MAX(0,ROUNDUP(((YEAR(Q$3)-YEAR($E10))*12+MONTH(Q$3)-MONTH($E10))/$G10,0)*$G10))&lt;Q$3,EDATE($E10,MAX(0,ROUNDUP(((YEAR(Q$3)-YEAR($E10))*12+MONTH(Q$3)-MONTH($E10))/$G10,0)*$G10)+$G10),EDATE($E10,MAX(0,ROUNDUP(((YEAR(Q$3)-YEAR($E10))*12+MONTH(Q$3)-MONTH($E10))/$G10,0)*$G10)))&gt;=Q$3,IF(EDATE($E10,MAX(0,ROUNDUP(((YEAR(Q$3)-YEAR($E10))*12+MONTH(Q$3)-MONTH($E10))/$G10,0)*$G10))&lt;Q$3,EDATE($E10,MAX(0,ROUNDUP(((YEAR(Q$3)-YEAR($E10))*12+MONTH(Q$3)-MONTH($E10))/$G10,0)*$G10)+$G10),EDATE($E10,MAX(0,ROUNDUP(((YEAR(Q$3)-YEAR($E10))*12+MONTH(Q$3)-MONTH($E10))/$G10,0)*$G10)))&lt;=IF($F10="",Q$4,MIN(Q$4,$F10))),1,0)))))</f>
        <v>0</v>
      </c>
      <c r="R10" s="25" t="n">
        <f aca="false">IF(OR($C10="",$C10=0,$E10="",$B10="",$G10=-2),0,$C10*IF($G10=0,IF(IF($F10="",R$4,MIN(R$4,$F10))&lt;$E10,0,MAX(0,INT((IF($F10="",R$4,MIN(R$4,$F10))-$E10)/7)+1-MAX(0,ROUNDUP((R$3-$E10)/7,0)))),IF($G10=101,(AND(EOMONTH(R$3,0)&gt;=MAX(R$3,$E10),EOMONTH(R$3,0)&lt;=IF($F10="",R$4,MIN(R$4,$F10)))*1+AND(EOMONTH(R$4,0)&lt;&gt;EOMONTH(R$3,0),EOMONTH(R$4,0)&gt;=MAX(R$3,$E10),EOMONTH(R$4,0)&lt;=IF($F10="",R$4,MIN(R$4,$F10)))*1),IF($G10=102,(AND(WORKDAY(EOMONTH(R$3,0)+1,-3)&gt;=MAX(R$3,$E10),WORKDAY(EOMONTH(R$3,0)+1,-3)&lt;=IF($F10="",R$4,MIN(R$4,$F10)))*1+AND(WORKDAY(EOMONTH(R$4,0)+1,-3)&lt;&gt;WORKDAY(EOMONTH(R$3,0)+1,-3),WORKDAY(EOMONTH(R$4,0)+1,-3)&gt;=MAX(R$3,$E10),WORKDAY(EOMONTH(R$4,0)+1,-3)&lt;=IF($F10="",R$4,MIN(R$4,$F10)))*1),IF(AND(IF(EDATE($E10,MAX(0,ROUNDUP(((YEAR(R$3)-YEAR($E10))*12+MONTH(R$3)-MONTH($E10))/$G10,0)*$G10))&lt;R$3,EDATE($E10,MAX(0,ROUNDUP(((YEAR(R$3)-YEAR($E10))*12+MONTH(R$3)-MONTH($E10))/$G10,0)*$G10)+$G10),EDATE($E10,MAX(0,ROUNDUP(((YEAR(R$3)-YEAR($E10))*12+MONTH(R$3)-MONTH($E10))/$G10,0)*$G10)))&gt;=R$3,IF(EDATE($E10,MAX(0,ROUNDUP(((YEAR(R$3)-YEAR($E10))*12+MONTH(R$3)-MONTH($E10))/$G10,0)*$G10))&lt;R$3,EDATE($E10,MAX(0,ROUNDUP(((YEAR(R$3)-YEAR($E10))*12+MONTH(R$3)-MONTH($E10))/$G10,0)*$G10)+$G10),EDATE($E10,MAX(0,ROUNDUP(((YEAR(R$3)-YEAR($E10))*12+MONTH(R$3)-MONTH($E10))/$G10,0)*$G10)))&lt;=IF($F10="",R$4,MIN(R$4,$F10))),1,0)))))</f>
        <v>0</v>
      </c>
      <c r="S10" s="25" t="n">
        <f aca="false">IF(OR($C10="",$C10=0,$E10="",$B10="",$G10=-2),0,$C10*IF($G10=0,IF(IF($F10="",S$4,MIN(S$4,$F10))&lt;$E10,0,MAX(0,INT((IF($F10="",S$4,MIN(S$4,$F10))-$E10)/7)+1-MAX(0,ROUNDUP((S$3-$E10)/7,0)))),IF($G10=101,(AND(EOMONTH(S$3,0)&gt;=MAX(S$3,$E10),EOMONTH(S$3,0)&lt;=IF($F10="",S$4,MIN(S$4,$F10)))*1+AND(EOMONTH(S$4,0)&lt;&gt;EOMONTH(S$3,0),EOMONTH(S$4,0)&gt;=MAX(S$3,$E10),EOMONTH(S$4,0)&lt;=IF($F10="",S$4,MIN(S$4,$F10)))*1),IF($G10=102,(AND(WORKDAY(EOMONTH(S$3,0)+1,-3)&gt;=MAX(S$3,$E10),WORKDAY(EOMONTH(S$3,0)+1,-3)&lt;=IF($F10="",S$4,MIN(S$4,$F10)))*1+AND(WORKDAY(EOMONTH(S$4,0)+1,-3)&lt;&gt;WORKDAY(EOMONTH(S$3,0)+1,-3),WORKDAY(EOMONTH(S$4,0)+1,-3)&gt;=MAX(S$3,$E10),WORKDAY(EOMONTH(S$4,0)+1,-3)&lt;=IF($F10="",S$4,MIN(S$4,$F10)))*1),IF(AND(IF(EDATE($E10,MAX(0,ROUNDUP(((YEAR(S$3)-YEAR($E10))*12+MONTH(S$3)-MONTH($E10))/$G10,0)*$G10))&lt;S$3,EDATE($E10,MAX(0,ROUNDUP(((YEAR(S$3)-YEAR($E10))*12+MONTH(S$3)-MONTH($E10))/$G10,0)*$G10)+$G10),EDATE($E10,MAX(0,ROUNDUP(((YEAR(S$3)-YEAR($E10))*12+MONTH(S$3)-MONTH($E10))/$G10,0)*$G10)))&gt;=S$3,IF(EDATE($E10,MAX(0,ROUNDUP(((YEAR(S$3)-YEAR($E10))*12+MONTH(S$3)-MONTH($E10))/$G10,0)*$G10))&lt;S$3,EDATE($E10,MAX(0,ROUNDUP(((YEAR(S$3)-YEAR($E10))*12+MONTH(S$3)-MONTH($E10))/$G10,0)*$G10)+$G10),EDATE($E10,MAX(0,ROUNDUP(((YEAR(S$3)-YEAR($E10))*12+MONTH(S$3)-MONTH($E10))/$G10,0)*$G10)))&lt;=IF($F10="",S$4,MIN(S$4,$F10))),1,0)))))</f>
        <v>0</v>
      </c>
      <c r="T10" s="25" t="n">
        <f aca="false">IF(OR($C10="",$C10=0,$E10="",$B10="",$G10=-2),0,$C10*IF($G10=0,IF(IF($F10="",T$4,MIN(T$4,$F10))&lt;$E10,0,MAX(0,INT((IF($F10="",T$4,MIN(T$4,$F10))-$E10)/7)+1-MAX(0,ROUNDUP((T$3-$E10)/7,0)))),IF($G10=101,(AND(EOMONTH(T$3,0)&gt;=MAX(T$3,$E10),EOMONTH(T$3,0)&lt;=IF($F10="",T$4,MIN(T$4,$F10)))*1+AND(EOMONTH(T$4,0)&lt;&gt;EOMONTH(T$3,0),EOMONTH(T$4,0)&gt;=MAX(T$3,$E10),EOMONTH(T$4,0)&lt;=IF($F10="",T$4,MIN(T$4,$F10)))*1),IF($G10=102,(AND(WORKDAY(EOMONTH(T$3,0)+1,-3)&gt;=MAX(T$3,$E10),WORKDAY(EOMONTH(T$3,0)+1,-3)&lt;=IF($F10="",T$4,MIN(T$4,$F10)))*1+AND(WORKDAY(EOMONTH(T$4,0)+1,-3)&lt;&gt;WORKDAY(EOMONTH(T$3,0)+1,-3),WORKDAY(EOMONTH(T$4,0)+1,-3)&gt;=MAX(T$3,$E10),WORKDAY(EOMONTH(T$4,0)+1,-3)&lt;=IF($F10="",T$4,MIN(T$4,$F10)))*1),IF(AND(IF(EDATE($E10,MAX(0,ROUNDUP(((YEAR(T$3)-YEAR($E10))*12+MONTH(T$3)-MONTH($E10))/$G10,0)*$G10))&lt;T$3,EDATE($E10,MAX(0,ROUNDUP(((YEAR(T$3)-YEAR($E10))*12+MONTH(T$3)-MONTH($E10))/$G10,0)*$G10)+$G10),EDATE($E10,MAX(0,ROUNDUP(((YEAR(T$3)-YEAR($E10))*12+MONTH(T$3)-MONTH($E10))/$G10,0)*$G10)))&gt;=T$3,IF(EDATE($E10,MAX(0,ROUNDUP(((YEAR(T$3)-YEAR($E10))*12+MONTH(T$3)-MONTH($E10))/$G10,0)*$G10))&lt;T$3,EDATE($E10,MAX(0,ROUNDUP(((YEAR(T$3)-YEAR($E10))*12+MONTH(T$3)-MONTH($E10))/$G10,0)*$G10)+$G10),EDATE($E10,MAX(0,ROUNDUP(((YEAR(T$3)-YEAR($E10))*12+MONTH(T$3)-MONTH($E10))/$G10,0)*$G10)))&lt;=IF($F10="",T$4,MIN(T$4,$F10))),1,0)))))</f>
        <v>0</v>
      </c>
      <c r="U10" s="25" t="n">
        <f aca="false">IF(OR($C10="",$C10=0,$E10="",$B10="",$G10=-2),0,$C10*IF($G10=0,IF(IF($F10="",U$4,MIN(U$4,$F10))&lt;$E10,0,MAX(0,INT((IF($F10="",U$4,MIN(U$4,$F10))-$E10)/7)+1-MAX(0,ROUNDUP((U$3-$E10)/7,0)))),IF($G10=101,(AND(EOMONTH(U$3,0)&gt;=MAX(U$3,$E10),EOMONTH(U$3,0)&lt;=IF($F10="",U$4,MIN(U$4,$F10)))*1+AND(EOMONTH(U$4,0)&lt;&gt;EOMONTH(U$3,0),EOMONTH(U$4,0)&gt;=MAX(U$3,$E10),EOMONTH(U$4,0)&lt;=IF($F10="",U$4,MIN(U$4,$F10)))*1),IF($G10=102,(AND(WORKDAY(EOMONTH(U$3,0)+1,-3)&gt;=MAX(U$3,$E10),WORKDAY(EOMONTH(U$3,0)+1,-3)&lt;=IF($F10="",U$4,MIN(U$4,$F10)))*1+AND(WORKDAY(EOMONTH(U$4,0)+1,-3)&lt;&gt;WORKDAY(EOMONTH(U$3,0)+1,-3),WORKDAY(EOMONTH(U$4,0)+1,-3)&gt;=MAX(U$3,$E10),WORKDAY(EOMONTH(U$4,0)+1,-3)&lt;=IF($F10="",U$4,MIN(U$4,$F10)))*1),IF(AND(IF(EDATE($E10,MAX(0,ROUNDUP(((YEAR(U$3)-YEAR($E10))*12+MONTH(U$3)-MONTH($E10))/$G10,0)*$G10))&lt;U$3,EDATE($E10,MAX(0,ROUNDUP(((YEAR(U$3)-YEAR($E10))*12+MONTH(U$3)-MONTH($E10))/$G10,0)*$G10)+$G10),EDATE($E10,MAX(0,ROUNDUP(((YEAR(U$3)-YEAR($E10))*12+MONTH(U$3)-MONTH($E10))/$G10,0)*$G10)))&gt;=U$3,IF(EDATE($E10,MAX(0,ROUNDUP(((YEAR(U$3)-YEAR($E10))*12+MONTH(U$3)-MONTH($E10))/$G10,0)*$G10))&lt;U$3,EDATE($E10,MAX(0,ROUNDUP(((YEAR(U$3)-YEAR($E10))*12+MONTH(U$3)-MONTH($E10))/$G10,0)*$G10)+$G10),EDATE($E10,MAX(0,ROUNDUP(((YEAR(U$3)-YEAR($E10))*12+MONTH(U$3)-MONTH($E10))/$G10,0)*$G10)))&lt;=IF($F10="",U$4,MIN(U$4,$F10))),1,0)))))</f>
        <v>0</v>
      </c>
      <c r="V10" s="25" t="n">
        <f aca="false">IF(OR($C10="",$C10=0,$E10="",$B10="",$G10=-2),0,$C10*IF($G10=0,IF(IF($F10="",V$4,MIN(V$4,$F10))&lt;$E10,0,MAX(0,INT((IF($F10="",V$4,MIN(V$4,$F10))-$E10)/7)+1-MAX(0,ROUNDUP((V$3-$E10)/7,0)))),IF($G10=101,(AND(EOMONTH(V$3,0)&gt;=MAX(V$3,$E10),EOMONTH(V$3,0)&lt;=IF($F10="",V$4,MIN(V$4,$F10)))*1+AND(EOMONTH(V$4,0)&lt;&gt;EOMONTH(V$3,0),EOMONTH(V$4,0)&gt;=MAX(V$3,$E10),EOMONTH(V$4,0)&lt;=IF($F10="",V$4,MIN(V$4,$F10)))*1),IF($G10=102,(AND(WORKDAY(EOMONTH(V$3,0)+1,-3)&gt;=MAX(V$3,$E10),WORKDAY(EOMONTH(V$3,0)+1,-3)&lt;=IF($F10="",V$4,MIN(V$4,$F10)))*1+AND(WORKDAY(EOMONTH(V$4,0)+1,-3)&lt;&gt;WORKDAY(EOMONTH(V$3,0)+1,-3),WORKDAY(EOMONTH(V$4,0)+1,-3)&gt;=MAX(V$3,$E10),WORKDAY(EOMONTH(V$4,0)+1,-3)&lt;=IF($F10="",V$4,MIN(V$4,$F10)))*1),IF(AND(IF(EDATE($E10,MAX(0,ROUNDUP(((YEAR(V$3)-YEAR($E10))*12+MONTH(V$3)-MONTH($E10))/$G10,0)*$G10))&lt;V$3,EDATE($E10,MAX(0,ROUNDUP(((YEAR(V$3)-YEAR($E10))*12+MONTH(V$3)-MONTH($E10))/$G10,0)*$G10)+$G10),EDATE($E10,MAX(0,ROUNDUP(((YEAR(V$3)-YEAR($E10))*12+MONTH(V$3)-MONTH($E10))/$G10,0)*$G10)))&gt;=V$3,IF(EDATE($E10,MAX(0,ROUNDUP(((YEAR(V$3)-YEAR($E10))*12+MONTH(V$3)-MONTH($E10))/$G10,0)*$G10))&lt;V$3,EDATE($E10,MAX(0,ROUNDUP(((YEAR(V$3)-YEAR($E10))*12+MONTH(V$3)-MONTH($E10))/$G10,0)*$G10)+$G10),EDATE($E10,MAX(0,ROUNDUP(((YEAR(V$3)-YEAR($E10))*12+MONTH(V$3)-MONTH($E10))/$G10,0)*$G10)))&lt;=IF($F10="",V$4,MIN(V$4,$F10))),1,0)))))</f>
        <v>0</v>
      </c>
      <c r="W10" s="25" t="n">
        <f aca="false">IF(OR($C10="",$C10=0,$E10="",$B10="",$G10=-2),0,$C10*IF($G10=0,IF(IF($F10="",W$4,MIN(W$4,$F10))&lt;$E10,0,MAX(0,INT((IF($F10="",W$4,MIN(W$4,$F10))-$E10)/7)+1-MAX(0,ROUNDUP((W$3-$E10)/7,0)))),IF($G10=101,(AND(EOMONTH(W$3,0)&gt;=MAX(W$3,$E10),EOMONTH(W$3,0)&lt;=IF($F10="",W$4,MIN(W$4,$F10)))*1+AND(EOMONTH(W$4,0)&lt;&gt;EOMONTH(W$3,0),EOMONTH(W$4,0)&gt;=MAX(W$3,$E10),EOMONTH(W$4,0)&lt;=IF($F10="",W$4,MIN(W$4,$F10)))*1),IF($G10=102,(AND(WORKDAY(EOMONTH(W$3,0)+1,-3)&gt;=MAX(W$3,$E10),WORKDAY(EOMONTH(W$3,0)+1,-3)&lt;=IF($F10="",W$4,MIN(W$4,$F10)))*1+AND(WORKDAY(EOMONTH(W$4,0)+1,-3)&lt;&gt;WORKDAY(EOMONTH(W$3,0)+1,-3),WORKDAY(EOMONTH(W$4,0)+1,-3)&gt;=MAX(W$3,$E10),WORKDAY(EOMONTH(W$4,0)+1,-3)&lt;=IF($F10="",W$4,MIN(W$4,$F10)))*1),IF(AND(IF(EDATE($E10,MAX(0,ROUNDUP(((YEAR(W$3)-YEAR($E10))*12+MONTH(W$3)-MONTH($E10))/$G10,0)*$G10))&lt;W$3,EDATE($E10,MAX(0,ROUNDUP(((YEAR(W$3)-YEAR($E10))*12+MONTH(W$3)-MONTH($E10))/$G10,0)*$G10)+$G10),EDATE($E10,MAX(0,ROUNDUP(((YEAR(W$3)-YEAR($E10))*12+MONTH(W$3)-MONTH($E10))/$G10,0)*$G10)))&gt;=W$3,IF(EDATE($E10,MAX(0,ROUNDUP(((YEAR(W$3)-YEAR($E10))*12+MONTH(W$3)-MONTH($E10))/$G10,0)*$G10))&lt;W$3,EDATE($E10,MAX(0,ROUNDUP(((YEAR(W$3)-YEAR($E10))*12+MONTH(W$3)-MONTH($E10))/$G10,0)*$G10)+$G10),EDATE($E10,MAX(0,ROUNDUP(((YEAR(W$3)-YEAR($E10))*12+MONTH(W$3)-MONTH($E10))/$G10,0)*$G10)))&lt;=IF($F10="",W$4,MIN(W$4,$F10))),1,0)))))</f>
        <v>0</v>
      </c>
      <c r="X10" s="25" t="n">
        <f aca="false">IF(OR($C10="",$C10=0,$E10="",$B10="",$G10=-2),0,$C10*IF($G10=0,IF(IF($F10="",X$4,MIN(X$4,$F10))&lt;$E10,0,MAX(0,INT((IF($F10="",X$4,MIN(X$4,$F10))-$E10)/7)+1-MAX(0,ROUNDUP((X$3-$E10)/7,0)))),IF($G10=101,(AND(EOMONTH(X$3,0)&gt;=MAX(X$3,$E10),EOMONTH(X$3,0)&lt;=IF($F10="",X$4,MIN(X$4,$F10)))*1+AND(EOMONTH(X$4,0)&lt;&gt;EOMONTH(X$3,0),EOMONTH(X$4,0)&gt;=MAX(X$3,$E10),EOMONTH(X$4,0)&lt;=IF($F10="",X$4,MIN(X$4,$F10)))*1),IF($G10=102,(AND(WORKDAY(EOMONTH(X$3,0)+1,-3)&gt;=MAX(X$3,$E10),WORKDAY(EOMONTH(X$3,0)+1,-3)&lt;=IF($F10="",X$4,MIN(X$4,$F10)))*1+AND(WORKDAY(EOMONTH(X$4,0)+1,-3)&lt;&gt;WORKDAY(EOMONTH(X$3,0)+1,-3),WORKDAY(EOMONTH(X$4,0)+1,-3)&gt;=MAX(X$3,$E10),WORKDAY(EOMONTH(X$4,0)+1,-3)&lt;=IF($F10="",X$4,MIN(X$4,$F10)))*1),IF(AND(IF(EDATE($E10,MAX(0,ROUNDUP(((YEAR(X$3)-YEAR($E10))*12+MONTH(X$3)-MONTH($E10))/$G10,0)*$G10))&lt;X$3,EDATE($E10,MAX(0,ROUNDUP(((YEAR(X$3)-YEAR($E10))*12+MONTH(X$3)-MONTH($E10))/$G10,0)*$G10)+$G10),EDATE($E10,MAX(0,ROUNDUP(((YEAR(X$3)-YEAR($E10))*12+MONTH(X$3)-MONTH($E10))/$G10,0)*$G10)))&gt;=X$3,IF(EDATE($E10,MAX(0,ROUNDUP(((YEAR(X$3)-YEAR($E10))*12+MONTH(X$3)-MONTH($E10))/$G10,0)*$G10))&lt;X$3,EDATE($E10,MAX(0,ROUNDUP(((YEAR(X$3)-YEAR($E10))*12+MONTH(X$3)-MONTH($E10))/$G10,0)*$G10)+$G10),EDATE($E10,MAX(0,ROUNDUP(((YEAR(X$3)-YEAR($E10))*12+MONTH(X$3)-MONTH($E10))/$G10,0)*$G10)))&lt;=IF($F10="",X$4,MIN(X$4,$F10))),1,0)))))</f>
        <v>0</v>
      </c>
      <c r="Y10" s="25" t="n">
        <f aca="false">IF(OR($C10="",$C10=0,$E10="",$B10="",$G10=-2),0,$C10*IF($G10=0,IF(IF($F10="",Y$4,MIN(Y$4,$F10))&lt;$E10,0,MAX(0,INT((IF($F10="",Y$4,MIN(Y$4,$F10))-$E10)/7)+1-MAX(0,ROUNDUP((Y$3-$E10)/7,0)))),IF($G10=101,(AND(EOMONTH(Y$3,0)&gt;=MAX(Y$3,$E10),EOMONTH(Y$3,0)&lt;=IF($F10="",Y$4,MIN(Y$4,$F10)))*1+AND(EOMONTH(Y$4,0)&lt;&gt;EOMONTH(Y$3,0),EOMONTH(Y$4,0)&gt;=MAX(Y$3,$E10),EOMONTH(Y$4,0)&lt;=IF($F10="",Y$4,MIN(Y$4,$F10)))*1),IF($G10=102,(AND(WORKDAY(EOMONTH(Y$3,0)+1,-3)&gt;=MAX(Y$3,$E10),WORKDAY(EOMONTH(Y$3,0)+1,-3)&lt;=IF($F10="",Y$4,MIN(Y$4,$F10)))*1+AND(WORKDAY(EOMONTH(Y$4,0)+1,-3)&lt;&gt;WORKDAY(EOMONTH(Y$3,0)+1,-3),WORKDAY(EOMONTH(Y$4,0)+1,-3)&gt;=MAX(Y$3,$E10),WORKDAY(EOMONTH(Y$4,0)+1,-3)&lt;=IF($F10="",Y$4,MIN(Y$4,$F10)))*1),IF(AND(IF(EDATE($E10,MAX(0,ROUNDUP(((YEAR(Y$3)-YEAR($E10))*12+MONTH(Y$3)-MONTH($E10))/$G10,0)*$G10))&lt;Y$3,EDATE($E10,MAX(0,ROUNDUP(((YEAR(Y$3)-YEAR($E10))*12+MONTH(Y$3)-MONTH($E10))/$G10,0)*$G10)+$G10),EDATE($E10,MAX(0,ROUNDUP(((YEAR(Y$3)-YEAR($E10))*12+MONTH(Y$3)-MONTH($E10))/$G10,0)*$G10)))&gt;=Y$3,IF(EDATE($E10,MAX(0,ROUNDUP(((YEAR(Y$3)-YEAR($E10))*12+MONTH(Y$3)-MONTH($E10))/$G10,0)*$G10))&lt;Y$3,EDATE($E10,MAX(0,ROUNDUP(((YEAR(Y$3)-YEAR($E10))*12+MONTH(Y$3)-MONTH($E10))/$G10,0)*$G10)+$G10),EDATE($E10,MAX(0,ROUNDUP(((YEAR(Y$3)-YEAR($E10))*12+MONTH(Y$3)-MONTH($E10))/$G10,0)*$G10)))&lt;=IF($F10="",Y$4,MIN(Y$4,$F10))),1,0)))))</f>
        <v>0</v>
      </c>
      <c r="Z10" s="25" t="n">
        <f aca="false">IF(OR($C10="",$C10=0,$E10="",$B10="",$G10=-2),0,$C10*IF($G10=0,IF(IF($F10="",Z$4,MIN(Z$4,$F10))&lt;$E10,0,MAX(0,INT((IF($F10="",Z$4,MIN(Z$4,$F10))-$E10)/7)+1-MAX(0,ROUNDUP((Z$3-$E10)/7,0)))),IF($G10=101,(AND(EOMONTH(Z$3,0)&gt;=MAX(Z$3,$E10),EOMONTH(Z$3,0)&lt;=IF($F10="",Z$4,MIN(Z$4,$F10)))*1+AND(EOMONTH(Z$4,0)&lt;&gt;EOMONTH(Z$3,0),EOMONTH(Z$4,0)&gt;=MAX(Z$3,$E10),EOMONTH(Z$4,0)&lt;=IF($F10="",Z$4,MIN(Z$4,$F10)))*1),IF($G10=102,(AND(WORKDAY(EOMONTH(Z$3,0)+1,-3)&gt;=MAX(Z$3,$E10),WORKDAY(EOMONTH(Z$3,0)+1,-3)&lt;=IF($F10="",Z$4,MIN(Z$4,$F10)))*1+AND(WORKDAY(EOMONTH(Z$4,0)+1,-3)&lt;&gt;WORKDAY(EOMONTH(Z$3,0)+1,-3),WORKDAY(EOMONTH(Z$4,0)+1,-3)&gt;=MAX(Z$3,$E10),WORKDAY(EOMONTH(Z$4,0)+1,-3)&lt;=IF($F10="",Z$4,MIN(Z$4,$F10)))*1),IF(AND(IF(EDATE($E10,MAX(0,ROUNDUP(((YEAR(Z$3)-YEAR($E10))*12+MONTH(Z$3)-MONTH($E10))/$G10,0)*$G10))&lt;Z$3,EDATE($E10,MAX(0,ROUNDUP(((YEAR(Z$3)-YEAR($E10))*12+MONTH(Z$3)-MONTH($E10))/$G10,0)*$G10)+$G10),EDATE($E10,MAX(0,ROUNDUP(((YEAR(Z$3)-YEAR($E10))*12+MONTH(Z$3)-MONTH($E10))/$G10,0)*$G10)))&gt;=Z$3,IF(EDATE($E10,MAX(0,ROUNDUP(((YEAR(Z$3)-YEAR($E10))*12+MONTH(Z$3)-MONTH($E10))/$G10,0)*$G10))&lt;Z$3,EDATE($E10,MAX(0,ROUNDUP(((YEAR(Z$3)-YEAR($E10))*12+MONTH(Z$3)-MONTH($E10))/$G10,0)*$G10)+$G10),EDATE($E10,MAX(0,ROUNDUP(((YEAR(Z$3)-YEAR($E10))*12+MONTH(Z$3)-MONTH($E10))/$G10,0)*$G10)))&lt;=IF($F10="",Z$4,MIN(Z$4,$F10))),1,0)))))</f>
        <v>0</v>
      </c>
      <c r="AA10" s="25" t="n">
        <f aca="false">IF(OR($C10="",$C10=0,$E10="",$B10="",$G10=-2),0,$C10*IF($G10=0,IF(IF($F10="",AA$4,MIN(AA$4,$F10))&lt;$E10,0,MAX(0,INT((IF($F10="",AA$4,MIN(AA$4,$F10))-$E10)/7)+1-MAX(0,ROUNDUP((AA$3-$E10)/7,0)))),IF($G10=101,(AND(EOMONTH(AA$3,0)&gt;=MAX(AA$3,$E10),EOMONTH(AA$3,0)&lt;=IF($F10="",AA$4,MIN(AA$4,$F10)))*1+AND(EOMONTH(AA$4,0)&lt;&gt;EOMONTH(AA$3,0),EOMONTH(AA$4,0)&gt;=MAX(AA$3,$E10),EOMONTH(AA$4,0)&lt;=IF($F10="",AA$4,MIN(AA$4,$F10)))*1),IF($G10=102,(AND(WORKDAY(EOMONTH(AA$3,0)+1,-3)&gt;=MAX(AA$3,$E10),WORKDAY(EOMONTH(AA$3,0)+1,-3)&lt;=IF($F10="",AA$4,MIN(AA$4,$F10)))*1+AND(WORKDAY(EOMONTH(AA$4,0)+1,-3)&lt;&gt;WORKDAY(EOMONTH(AA$3,0)+1,-3),WORKDAY(EOMONTH(AA$4,0)+1,-3)&gt;=MAX(AA$3,$E10),WORKDAY(EOMONTH(AA$4,0)+1,-3)&lt;=IF($F10="",AA$4,MIN(AA$4,$F10)))*1),IF(AND(IF(EDATE($E10,MAX(0,ROUNDUP(((YEAR(AA$3)-YEAR($E10))*12+MONTH(AA$3)-MONTH($E10))/$G10,0)*$G10))&lt;AA$3,EDATE($E10,MAX(0,ROUNDUP(((YEAR(AA$3)-YEAR($E10))*12+MONTH(AA$3)-MONTH($E10))/$G10,0)*$G10)+$G10),EDATE($E10,MAX(0,ROUNDUP(((YEAR(AA$3)-YEAR($E10))*12+MONTH(AA$3)-MONTH($E10))/$G10,0)*$G10)))&gt;=AA$3,IF(EDATE($E10,MAX(0,ROUNDUP(((YEAR(AA$3)-YEAR($E10))*12+MONTH(AA$3)-MONTH($E10))/$G10,0)*$G10))&lt;AA$3,EDATE($E10,MAX(0,ROUNDUP(((YEAR(AA$3)-YEAR($E10))*12+MONTH(AA$3)-MONTH($E10))/$G10,0)*$G10)+$G10),EDATE($E10,MAX(0,ROUNDUP(((YEAR(AA$3)-YEAR($E10))*12+MONTH(AA$3)-MONTH($E10))/$G10,0)*$G10)))&lt;=IF($F10="",AA$4,MIN(AA$4,$F10))),1,0)))))</f>
        <v>0</v>
      </c>
      <c r="AB10" s="25" t="n">
        <f aca="false">IF(OR($C10="",$C10=0,$E10="",$B10="",$G10=-2),0,$C10*IF($G10=0,IF(IF($F10="",AB$4,MIN(AB$4,$F10))&lt;$E10,0,MAX(0,INT((IF($F10="",AB$4,MIN(AB$4,$F10))-$E10)/7)+1-MAX(0,ROUNDUP((AB$3-$E10)/7,0)))),IF($G10=101,(AND(EOMONTH(AB$3,0)&gt;=MAX(AB$3,$E10),EOMONTH(AB$3,0)&lt;=IF($F10="",AB$4,MIN(AB$4,$F10)))*1+AND(EOMONTH(AB$4,0)&lt;&gt;EOMONTH(AB$3,0),EOMONTH(AB$4,0)&gt;=MAX(AB$3,$E10),EOMONTH(AB$4,0)&lt;=IF($F10="",AB$4,MIN(AB$4,$F10)))*1),IF($G10=102,(AND(WORKDAY(EOMONTH(AB$3,0)+1,-3)&gt;=MAX(AB$3,$E10),WORKDAY(EOMONTH(AB$3,0)+1,-3)&lt;=IF($F10="",AB$4,MIN(AB$4,$F10)))*1+AND(WORKDAY(EOMONTH(AB$4,0)+1,-3)&lt;&gt;WORKDAY(EOMONTH(AB$3,0)+1,-3),WORKDAY(EOMONTH(AB$4,0)+1,-3)&gt;=MAX(AB$3,$E10),WORKDAY(EOMONTH(AB$4,0)+1,-3)&lt;=IF($F10="",AB$4,MIN(AB$4,$F10)))*1),IF(AND(IF(EDATE($E10,MAX(0,ROUNDUP(((YEAR(AB$3)-YEAR($E10))*12+MONTH(AB$3)-MONTH($E10))/$G10,0)*$G10))&lt;AB$3,EDATE($E10,MAX(0,ROUNDUP(((YEAR(AB$3)-YEAR($E10))*12+MONTH(AB$3)-MONTH($E10))/$G10,0)*$G10)+$G10),EDATE($E10,MAX(0,ROUNDUP(((YEAR(AB$3)-YEAR($E10))*12+MONTH(AB$3)-MONTH($E10))/$G10,0)*$G10)))&gt;=AB$3,IF(EDATE($E10,MAX(0,ROUNDUP(((YEAR(AB$3)-YEAR($E10))*12+MONTH(AB$3)-MONTH($E10))/$G10,0)*$G10))&lt;AB$3,EDATE($E10,MAX(0,ROUNDUP(((YEAR(AB$3)-YEAR($E10))*12+MONTH(AB$3)-MONTH($E10))/$G10,0)*$G10)+$G10),EDATE($E10,MAX(0,ROUNDUP(((YEAR(AB$3)-YEAR($E10))*12+MONTH(AB$3)-MONTH($E10))/$G10,0)*$G10)))&lt;=IF($F10="",AB$4,MIN(AB$4,$F10))),1,0)))))</f>
        <v>0</v>
      </c>
      <c r="AC10" s="25" t="n">
        <f aca="false">IF(OR($C10="",$C10=0,$E10="",$B10="",$G10=-2),0,$C10*IF($G10=0,IF(IF($F10="",AC$4,MIN(AC$4,$F10))&lt;$E10,0,MAX(0,INT((IF($F10="",AC$4,MIN(AC$4,$F10))-$E10)/7)+1-MAX(0,ROUNDUP((AC$3-$E10)/7,0)))),IF($G10=101,(AND(EOMONTH(AC$3,0)&gt;=MAX(AC$3,$E10),EOMONTH(AC$3,0)&lt;=IF($F10="",AC$4,MIN(AC$4,$F10)))*1+AND(EOMONTH(AC$4,0)&lt;&gt;EOMONTH(AC$3,0),EOMONTH(AC$4,0)&gt;=MAX(AC$3,$E10),EOMONTH(AC$4,0)&lt;=IF($F10="",AC$4,MIN(AC$4,$F10)))*1),IF($G10=102,(AND(WORKDAY(EOMONTH(AC$3,0)+1,-3)&gt;=MAX(AC$3,$E10),WORKDAY(EOMONTH(AC$3,0)+1,-3)&lt;=IF($F10="",AC$4,MIN(AC$4,$F10)))*1+AND(WORKDAY(EOMONTH(AC$4,0)+1,-3)&lt;&gt;WORKDAY(EOMONTH(AC$3,0)+1,-3),WORKDAY(EOMONTH(AC$4,0)+1,-3)&gt;=MAX(AC$3,$E10),WORKDAY(EOMONTH(AC$4,0)+1,-3)&lt;=IF($F10="",AC$4,MIN(AC$4,$F10)))*1),IF(AND(IF(EDATE($E10,MAX(0,ROUNDUP(((YEAR(AC$3)-YEAR($E10))*12+MONTH(AC$3)-MONTH($E10))/$G10,0)*$G10))&lt;AC$3,EDATE($E10,MAX(0,ROUNDUP(((YEAR(AC$3)-YEAR($E10))*12+MONTH(AC$3)-MONTH($E10))/$G10,0)*$G10)+$G10),EDATE($E10,MAX(0,ROUNDUP(((YEAR(AC$3)-YEAR($E10))*12+MONTH(AC$3)-MONTH($E10))/$G10,0)*$G10)))&gt;=AC$3,IF(EDATE($E10,MAX(0,ROUNDUP(((YEAR(AC$3)-YEAR($E10))*12+MONTH(AC$3)-MONTH($E10))/$G10,0)*$G10))&lt;AC$3,EDATE($E10,MAX(0,ROUNDUP(((YEAR(AC$3)-YEAR($E10))*12+MONTH(AC$3)-MONTH($E10))/$G10,0)*$G10)+$G10),EDATE($E10,MAX(0,ROUNDUP(((YEAR(AC$3)-YEAR($E10))*12+MONTH(AC$3)-MONTH($E10))/$G10,0)*$G10)))&lt;=IF($F10="",AC$4,MIN(AC$4,$F10))),1,0)))))</f>
        <v>0</v>
      </c>
      <c r="AD10" s="25" t="n">
        <f aca="false">IF(OR($C10="",$C10=0,$E10="",$B10="",$G10=-2),0,$C10*IF($G10=0,IF(IF($F10="",AD$4,MIN(AD$4,$F10))&lt;$E10,0,MAX(0,INT((IF($F10="",AD$4,MIN(AD$4,$F10))-$E10)/7)+1-MAX(0,ROUNDUP((AD$3-$E10)/7,0)))),IF($G10=101,(AND(EOMONTH(AD$3,0)&gt;=MAX(AD$3,$E10),EOMONTH(AD$3,0)&lt;=IF($F10="",AD$4,MIN(AD$4,$F10)))*1+AND(EOMONTH(AD$4,0)&lt;&gt;EOMONTH(AD$3,0),EOMONTH(AD$4,0)&gt;=MAX(AD$3,$E10),EOMONTH(AD$4,0)&lt;=IF($F10="",AD$4,MIN(AD$4,$F10)))*1),IF($G10=102,(AND(WORKDAY(EOMONTH(AD$3,0)+1,-3)&gt;=MAX(AD$3,$E10),WORKDAY(EOMONTH(AD$3,0)+1,-3)&lt;=IF($F10="",AD$4,MIN(AD$4,$F10)))*1+AND(WORKDAY(EOMONTH(AD$4,0)+1,-3)&lt;&gt;WORKDAY(EOMONTH(AD$3,0)+1,-3),WORKDAY(EOMONTH(AD$4,0)+1,-3)&gt;=MAX(AD$3,$E10),WORKDAY(EOMONTH(AD$4,0)+1,-3)&lt;=IF($F10="",AD$4,MIN(AD$4,$F10)))*1),IF(AND(IF(EDATE($E10,MAX(0,ROUNDUP(((YEAR(AD$3)-YEAR($E10))*12+MONTH(AD$3)-MONTH($E10))/$G10,0)*$G10))&lt;AD$3,EDATE($E10,MAX(0,ROUNDUP(((YEAR(AD$3)-YEAR($E10))*12+MONTH(AD$3)-MONTH($E10))/$G10,0)*$G10)+$G10),EDATE($E10,MAX(0,ROUNDUP(((YEAR(AD$3)-YEAR($E10))*12+MONTH(AD$3)-MONTH($E10))/$G10,0)*$G10)))&gt;=AD$3,IF(EDATE($E10,MAX(0,ROUNDUP(((YEAR(AD$3)-YEAR($E10))*12+MONTH(AD$3)-MONTH($E10))/$G10,0)*$G10))&lt;AD$3,EDATE($E10,MAX(0,ROUNDUP(((YEAR(AD$3)-YEAR($E10))*12+MONTH(AD$3)-MONTH($E10))/$G10,0)*$G10)+$G10),EDATE($E10,MAX(0,ROUNDUP(((YEAR(AD$3)-YEAR($E10))*12+MONTH(AD$3)-MONTH($E10))/$G10,0)*$G10)))&lt;=IF($F10="",AD$4,MIN(AD$4,$F10))),1,0)))))</f>
        <v>0</v>
      </c>
      <c r="AE10" s="25" t="n">
        <f aca="false">IF(OR($C10="",$C10=0,$E10="",$B10="",$G10=-2),0,$C10*IF($G10=0,IF(IF($F10="",AE$4,MIN(AE$4,$F10))&lt;$E10,0,MAX(0,INT((IF($F10="",AE$4,MIN(AE$4,$F10))-$E10)/7)+1-MAX(0,ROUNDUP((AE$3-$E10)/7,0)))),IF($G10=101,(AND(EOMONTH(AE$3,0)&gt;=MAX(AE$3,$E10),EOMONTH(AE$3,0)&lt;=IF($F10="",AE$4,MIN(AE$4,$F10)))*1+AND(EOMONTH(AE$4,0)&lt;&gt;EOMONTH(AE$3,0),EOMONTH(AE$4,0)&gt;=MAX(AE$3,$E10),EOMONTH(AE$4,0)&lt;=IF($F10="",AE$4,MIN(AE$4,$F10)))*1),IF($G10=102,(AND(WORKDAY(EOMONTH(AE$3,0)+1,-3)&gt;=MAX(AE$3,$E10),WORKDAY(EOMONTH(AE$3,0)+1,-3)&lt;=IF($F10="",AE$4,MIN(AE$4,$F10)))*1+AND(WORKDAY(EOMONTH(AE$4,0)+1,-3)&lt;&gt;WORKDAY(EOMONTH(AE$3,0)+1,-3),WORKDAY(EOMONTH(AE$4,0)+1,-3)&gt;=MAX(AE$3,$E10),WORKDAY(EOMONTH(AE$4,0)+1,-3)&lt;=IF($F10="",AE$4,MIN(AE$4,$F10)))*1),IF(AND(IF(EDATE($E10,MAX(0,ROUNDUP(((YEAR(AE$3)-YEAR($E10))*12+MONTH(AE$3)-MONTH($E10))/$G10,0)*$G10))&lt;AE$3,EDATE($E10,MAX(0,ROUNDUP(((YEAR(AE$3)-YEAR($E10))*12+MONTH(AE$3)-MONTH($E10))/$G10,0)*$G10)+$G10),EDATE($E10,MAX(0,ROUNDUP(((YEAR(AE$3)-YEAR($E10))*12+MONTH(AE$3)-MONTH($E10))/$G10,0)*$G10)))&gt;=AE$3,IF(EDATE($E10,MAX(0,ROUNDUP(((YEAR(AE$3)-YEAR($E10))*12+MONTH(AE$3)-MONTH($E10))/$G10,0)*$G10))&lt;AE$3,EDATE($E10,MAX(0,ROUNDUP(((YEAR(AE$3)-YEAR($E10))*12+MONTH(AE$3)-MONTH($E10))/$G10,0)*$G10)+$G10),EDATE($E10,MAX(0,ROUNDUP(((YEAR(AE$3)-YEAR($E10))*12+MONTH(AE$3)-MONTH($E10))/$G10,0)*$G10)))&lt;=IF($F10="",AE$4,MIN(AE$4,$F10))),1,0)))))</f>
        <v>0</v>
      </c>
      <c r="AF10" s="25" t="n">
        <f aca="false">IF(OR($C10="",$C10=0,$E10="",$B10="",$G10=-2),0,$C10*IF($G10=0,IF(IF($F10="",AF$4,MIN(AF$4,$F10))&lt;$E10,0,MAX(0,INT((IF($F10="",AF$4,MIN(AF$4,$F10))-$E10)/7)+1-MAX(0,ROUNDUP((AF$3-$E10)/7,0)))),IF($G10=101,(AND(EOMONTH(AF$3,0)&gt;=MAX(AF$3,$E10),EOMONTH(AF$3,0)&lt;=IF($F10="",AF$4,MIN(AF$4,$F10)))*1+AND(EOMONTH(AF$4,0)&lt;&gt;EOMONTH(AF$3,0),EOMONTH(AF$4,0)&gt;=MAX(AF$3,$E10),EOMONTH(AF$4,0)&lt;=IF($F10="",AF$4,MIN(AF$4,$F10)))*1),IF($G10=102,(AND(WORKDAY(EOMONTH(AF$3,0)+1,-3)&gt;=MAX(AF$3,$E10),WORKDAY(EOMONTH(AF$3,0)+1,-3)&lt;=IF($F10="",AF$4,MIN(AF$4,$F10)))*1+AND(WORKDAY(EOMONTH(AF$4,0)+1,-3)&lt;&gt;WORKDAY(EOMONTH(AF$3,0)+1,-3),WORKDAY(EOMONTH(AF$4,0)+1,-3)&gt;=MAX(AF$3,$E10),WORKDAY(EOMONTH(AF$4,0)+1,-3)&lt;=IF($F10="",AF$4,MIN(AF$4,$F10)))*1),IF(AND(IF(EDATE($E10,MAX(0,ROUNDUP(((YEAR(AF$3)-YEAR($E10))*12+MONTH(AF$3)-MONTH($E10))/$G10,0)*$G10))&lt;AF$3,EDATE($E10,MAX(0,ROUNDUP(((YEAR(AF$3)-YEAR($E10))*12+MONTH(AF$3)-MONTH($E10))/$G10,0)*$G10)+$G10),EDATE($E10,MAX(0,ROUNDUP(((YEAR(AF$3)-YEAR($E10))*12+MONTH(AF$3)-MONTH($E10))/$G10,0)*$G10)))&gt;=AF$3,IF(EDATE($E10,MAX(0,ROUNDUP(((YEAR(AF$3)-YEAR($E10))*12+MONTH(AF$3)-MONTH($E10))/$G10,0)*$G10))&lt;AF$3,EDATE($E10,MAX(0,ROUNDUP(((YEAR(AF$3)-YEAR($E10))*12+MONTH(AF$3)-MONTH($E10))/$G10,0)*$G10)+$G10),EDATE($E10,MAX(0,ROUNDUP(((YEAR(AF$3)-YEAR($E10))*12+MONTH(AF$3)-MONTH($E10))/$G10,0)*$G10)))&lt;=IF($F10="",AF$4,MIN(AF$4,$F10))),1,0)))))</f>
        <v>0</v>
      </c>
    </row>
    <row r="11" customFormat="false" ht="15" hidden="false" customHeight="false" outlineLevel="0" collapsed="false">
      <c r="A11" s="5"/>
      <c r="B11" s="5"/>
      <c r="C11" s="8"/>
      <c r="D11" s="5"/>
      <c r="E11" s="7"/>
      <c r="F11" s="7"/>
      <c r="G11" s="24" t="n">
        <f aca="false">IFERROR(INDEX(Listen!$E$2:$E$8,MATCH(D11,Listen!$D$2:$D$8,0)),-2)</f>
        <v>-2</v>
      </c>
      <c r="H11" s="25" t="n">
        <f aca="false">IF(OR($C11="",$C11=0,$E11="",$B11="",$G11=-2),0,$C11*IF($G11=0,IF(IF($F11="",H$4,MIN(H$4,$F11))&lt;$E11,0,MAX(0,INT((IF($F11="",H$4,MIN(H$4,$F11))-$E11)/7)+1-MAX(0,ROUNDUP((H$3-$E11)/7,0)))),IF($G11=101,(AND(EOMONTH(H$3,0)&gt;=MAX(H$3,$E11),EOMONTH(H$3,0)&lt;=IF($F11="",H$4,MIN(H$4,$F11)))*1+AND(EOMONTH(H$4,0)&lt;&gt;EOMONTH(H$3,0),EOMONTH(H$4,0)&gt;=MAX(H$3,$E11),EOMONTH(H$4,0)&lt;=IF($F11="",H$4,MIN(H$4,$F11)))*1),IF($G11=102,(AND(WORKDAY(EOMONTH(H$3,0)+1,-3)&gt;=MAX(H$3,$E11),WORKDAY(EOMONTH(H$3,0)+1,-3)&lt;=IF($F11="",H$4,MIN(H$4,$F11)))*1+AND(WORKDAY(EOMONTH(H$4,0)+1,-3)&lt;&gt;WORKDAY(EOMONTH(H$3,0)+1,-3),WORKDAY(EOMONTH(H$4,0)+1,-3)&gt;=MAX(H$3,$E11),WORKDAY(EOMONTH(H$4,0)+1,-3)&lt;=IF($F11="",H$4,MIN(H$4,$F11)))*1),IF(AND(IF(EDATE($E11,MAX(0,ROUNDUP(((YEAR(H$3)-YEAR($E11))*12+MONTH(H$3)-MONTH($E11))/$G11,0)*$G11))&lt;H$3,EDATE($E11,MAX(0,ROUNDUP(((YEAR(H$3)-YEAR($E11))*12+MONTH(H$3)-MONTH($E11))/$G11,0)*$G11)+$G11),EDATE($E11,MAX(0,ROUNDUP(((YEAR(H$3)-YEAR($E11))*12+MONTH(H$3)-MONTH($E11))/$G11,0)*$G11)))&gt;=H$3,IF(EDATE($E11,MAX(0,ROUNDUP(((YEAR(H$3)-YEAR($E11))*12+MONTH(H$3)-MONTH($E11))/$G11,0)*$G11))&lt;H$3,EDATE($E11,MAX(0,ROUNDUP(((YEAR(H$3)-YEAR($E11))*12+MONTH(H$3)-MONTH($E11))/$G11,0)*$G11)+$G11),EDATE($E11,MAX(0,ROUNDUP(((YEAR(H$3)-YEAR($E11))*12+MONTH(H$3)-MONTH($E11))/$G11,0)*$G11)))&lt;=IF($F11="",H$4,MIN(H$4,$F11))),1,0)))))</f>
        <v>0</v>
      </c>
      <c r="I11" s="25" t="n">
        <f aca="false">IF(OR($C11="",$C11=0,$E11="",$B11="",$G11=-2),0,$C11*IF($G11=0,IF(IF($F11="",I$4,MIN(I$4,$F11))&lt;$E11,0,MAX(0,INT((IF($F11="",I$4,MIN(I$4,$F11))-$E11)/7)+1-MAX(0,ROUNDUP((I$3-$E11)/7,0)))),IF($G11=101,(AND(EOMONTH(I$3,0)&gt;=MAX(I$3,$E11),EOMONTH(I$3,0)&lt;=IF($F11="",I$4,MIN(I$4,$F11)))*1+AND(EOMONTH(I$4,0)&lt;&gt;EOMONTH(I$3,0),EOMONTH(I$4,0)&gt;=MAX(I$3,$E11),EOMONTH(I$4,0)&lt;=IF($F11="",I$4,MIN(I$4,$F11)))*1),IF($G11=102,(AND(WORKDAY(EOMONTH(I$3,0)+1,-3)&gt;=MAX(I$3,$E11),WORKDAY(EOMONTH(I$3,0)+1,-3)&lt;=IF($F11="",I$4,MIN(I$4,$F11)))*1+AND(WORKDAY(EOMONTH(I$4,0)+1,-3)&lt;&gt;WORKDAY(EOMONTH(I$3,0)+1,-3),WORKDAY(EOMONTH(I$4,0)+1,-3)&gt;=MAX(I$3,$E11),WORKDAY(EOMONTH(I$4,0)+1,-3)&lt;=IF($F11="",I$4,MIN(I$4,$F11)))*1),IF(AND(IF(EDATE($E11,MAX(0,ROUNDUP(((YEAR(I$3)-YEAR($E11))*12+MONTH(I$3)-MONTH($E11))/$G11,0)*$G11))&lt;I$3,EDATE($E11,MAX(0,ROUNDUP(((YEAR(I$3)-YEAR($E11))*12+MONTH(I$3)-MONTH($E11))/$G11,0)*$G11)+$G11),EDATE($E11,MAX(0,ROUNDUP(((YEAR(I$3)-YEAR($E11))*12+MONTH(I$3)-MONTH($E11))/$G11,0)*$G11)))&gt;=I$3,IF(EDATE($E11,MAX(0,ROUNDUP(((YEAR(I$3)-YEAR($E11))*12+MONTH(I$3)-MONTH($E11))/$G11,0)*$G11))&lt;I$3,EDATE($E11,MAX(0,ROUNDUP(((YEAR(I$3)-YEAR($E11))*12+MONTH(I$3)-MONTH($E11))/$G11,0)*$G11)+$G11),EDATE($E11,MAX(0,ROUNDUP(((YEAR(I$3)-YEAR($E11))*12+MONTH(I$3)-MONTH($E11))/$G11,0)*$G11)))&lt;=IF($F11="",I$4,MIN(I$4,$F11))),1,0)))))</f>
        <v>0</v>
      </c>
      <c r="J11" s="25" t="n">
        <f aca="false">IF(OR($C11="",$C11=0,$E11="",$B11="",$G11=-2),0,$C11*IF($G11=0,IF(IF($F11="",J$4,MIN(J$4,$F11))&lt;$E11,0,MAX(0,INT((IF($F11="",J$4,MIN(J$4,$F11))-$E11)/7)+1-MAX(0,ROUNDUP((J$3-$E11)/7,0)))),IF($G11=101,(AND(EOMONTH(J$3,0)&gt;=MAX(J$3,$E11),EOMONTH(J$3,0)&lt;=IF($F11="",J$4,MIN(J$4,$F11)))*1+AND(EOMONTH(J$4,0)&lt;&gt;EOMONTH(J$3,0),EOMONTH(J$4,0)&gt;=MAX(J$3,$E11),EOMONTH(J$4,0)&lt;=IF($F11="",J$4,MIN(J$4,$F11)))*1),IF($G11=102,(AND(WORKDAY(EOMONTH(J$3,0)+1,-3)&gt;=MAX(J$3,$E11),WORKDAY(EOMONTH(J$3,0)+1,-3)&lt;=IF($F11="",J$4,MIN(J$4,$F11)))*1+AND(WORKDAY(EOMONTH(J$4,0)+1,-3)&lt;&gt;WORKDAY(EOMONTH(J$3,0)+1,-3),WORKDAY(EOMONTH(J$4,0)+1,-3)&gt;=MAX(J$3,$E11),WORKDAY(EOMONTH(J$4,0)+1,-3)&lt;=IF($F11="",J$4,MIN(J$4,$F11)))*1),IF(AND(IF(EDATE($E11,MAX(0,ROUNDUP(((YEAR(J$3)-YEAR($E11))*12+MONTH(J$3)-MONTH($E11))/$G11,0)*$G11))&lt;J$3,EDATE($E11,MAX(0,ROUNDUP(((YEAR(J$3)-YEAR($E11))*12+MONTH(J$3)-MONTH($E11))/$G11,0)*$G11)+$G11),EDATE($E11,MAX(0,ROUNDUP(((YEAR(J$3)-YEAR($E11))*12+MONTH(J$3)-MONTH($E11))/$G11,0)*$G11)))&gt;=J$3,IF(EDATE($E11,MAX(0,ROUNDUP(((YEAR(J$3)-YEAR($E11))*12+MONTH(J$3)-MONTH($E11))/$G11,0)*$G11))&lt;J$3,EDATE($E11,MAX(0,ROUNDUP(((YEAR(J$3)-YEAR($E11))*12+MONTH(J$3)-MONTH($E11))/$G11,0)*$G11)+$G11),EDATE($E11,MAX(0,ROUNDUP(((YEAR(J$3)-YEAR($E11))*12+MONTH(J$3)-MONTH($E11))/$G11,0)*$G11)))&lt;=IF($F11="",J$4,MIN(J$4,$F11))),1,0)))))</f>
        <v>0</v>
      </c>
      <c r="K11" s="25" t="n">
        <f aca="false">IF(OR($C11="",$C11=0,$E11="",$B11="",$G11=-2),0,$C11*IF($G11=0,IF(IF($F11="",K$4,MIN(K$4,$F11))&lt;$E11,0,MAX(0,INT((IF($F11="",K$4,MIN(K$4,$F11))-$E11)/7)+1-MAX(0,ROUNDUP((K$3-$E11)/7,0)))),IF($G11=101,(AND(EOMONTH(K$3,0)&gt;=MAX(K$3,$E11),EOMONTH(K$3,0)&lt;=IF($F11="",K$4,MIN(K$4,$F11)))*1+AND(EOMONTH(K$4,0)&lt;&gt;EOMONTH(K$3,0),EOMONTH(K$4,0)&gt;=MAX(K$3,$E11),EOMONTH(K$4,0)&lt;=IF($F11="",K$4,MIN(K$4,$F11)))*1),IF($G11=102,(AND(WORKDAY(EOMONTH(K$3,0)+1,-3)&gt;=MAX(K$3,$E11),WORKDAY(EOMONTH(K$3,0)+1,-3)&lt;=IF($F11="",K$4,MIN(K$4,$F11)))*1+AND(WORKDAY(EOMONTH(K$4,0)+1,-3)&lt;&gt;WORKDAY(EOMONTH(K$3,0)+1,-3),WORKDAY(EOMONTH(K$4,0)+1,-3)&gt;=MAX(K$3,$E11),WORKDAY(EOMONTH(K$4,0)+1,-3)&lt;=IF($F11="",K$4,MIN(K$4,$F11)))*1),IF(AND(IF(EDATE($E11,MAX(0,ROUNDUP(((YEAR(K$3)-YEAR($E11))*12+MONTH(K$3)-MONTH($E11))/$G11,0)*$G11))&lt;K$3,EDATE($E11,MAX(0,ROUNDUP(((YEAR(K$3)-YEAR($E11))*12+MONTH(K$3)-MONTH($E11))/$G11,0)*$G11)+$G11),EDATE($E11,MAX(0,ROUNDUP(((YEAR(K$3)-YEAR($E11))*12+MONTH(K$3)-MONTH($E11))/$G11,0)*$G11)))&gt;=K$3,IF(EDATE($E11,MAX(0,ROUNDUP(((YEAR(K$3)-YEAR($E11))*12+MONTH(K$3)-MONTH($E11))/$G11,0)*$G11))&lt;K$3,EDATE($E11,MAX(0,ROUNDUP(((YEAR(K$3)-YEAR($E11))*12+MONTH(K$3)-MONTH($E11))/$G11,0)*$G11)+$G11),EDATE($E11,MAX(0,ROUNDUP(((YEAR(K$3)-YEAR($E11))*12+MONTH(K$3)-MONTH($E11))/$G11,0)*$G11)))&lt;=IF($F11="",K$4,MIN(K$4,$F11))),1,0)))))</f>
        <v>0</v>
      </c>
      <c r="L11" s="25" t="n">
        <f aca="false">IF(OR($C11="",$C11=0,$E11="",$B11="",$G11=-2),0,$C11*IF($G11=0,IF(IF($F11="",L$4,MIN(L$4,$F11))&lt;$E11,0,MAX(0,INT((IF($F11="",L$4,MIN(L$4,$F11))-$E11)/7)+1-MAX(0,ROUNDUP((L$3-$E11)/7,0)))),IF($G11=101,(AND(EOMONTH(L$3,0)&gt;=MAX(L$3,$E11),EOMONTH(L$3,0)&lt;=IF($F11="",L$4,MIN(L$4,$F11)))*1+AND(EOMONTH(L$4,0)&lt;&gt;EOMONTH(L$3,0),EOMONTH(L$4,0)&gt;=MAX(L$3,$E11),EOMONTH(L$4,0)&lt;=IF($F11="",L$4,MIN(L$4,$F11)))*1),IF($G11=102,(AND(WORKDAY(EOMONTH(L$3,0)+1,-3)&gt;=MAX(L$3,$E11),WORKDAY(EOMONTH(L$3,0)+1,-3)&lt;=IF($F11="",L$4,MIN(L$4,$F11)))*1+AND(WORKDAY(EOMONTH(L$4,0)+1,-3)&lt;&gt;WORKDAY(EOMONTH(L$3,0)+1,-3),WORKDAY(EOMONTH(L$4,0)+1,-3)&gt;=MAX(L$3,$E11),WORKDAY(EOMONTH(L$4,0)+1,-3)&lt;=IF($F11="",L$4,MIN(L$4,$F11)))*1),IF(AND(IF(EDATE($E11,MAX(0,ROUNDUP(((YEAR(L$3)-YEAR($E11))*12+MONTH(L$3)-MONTH($E11))/$G11,0)*$G11))&lt;L$3,EDATE($E11,MAX(0,ROUNDUP(((YEAR(L$3)-YEAR($E11))*12+MONTH(L$3)-MONTH($E11))/$G11,0)*$G11)+$G11),EDATE($E11,MAX(0,ROUNDUP(((YEAR(L$3)-YEAR($E11))*12+MONTH(L$3)-MONTH($E11))/$G11,0)*$G11)))&gt;=L$3,IF(EDATE($E11,MAX(0,ROUNDUP(((YEAR(L$3)-YEAR($E11))*12+MONTH(L$3)-MONTH($E11))/$G11,0)*$G11))&lt;L$3,EDATE($E11,MAX(0,ROUNDUP(((YEAR(L$3)-YEAR($E11))*12+MONTH(L$3)-MONTH($E11))/$G11,0)*$G11)+$G11),EDATE($E11,MAX(0,ROUNDUP(((YEAR(L$3)-YEAR($E11))*12+MONTH(L$3)-MONTH($E11))/$G11,0)*$G11)))&lt;=IF($F11="",L$4,MIN(L$4,$F11))),1,0)))))</f>
        <v>0</v>
      </c>
      <c r="M11" s="25" t="n">
        <f aca="false">IF(OR($C11="",$C11=0,$E11="",$B11="",$G11=-2),0,$C11*IF($G11=0,IF(IF($F11="",M$4,MIN(M$4,$F11))&lt;$E11,0,MAX(0,INT((IF($F11="",M$4,MIN(M$4,$F11))-$E11)/7)+1-MAX(0,ROUNDUP((M$3-$E11)/7,0)))),IF($G11=101,(AND(EOMONTH(M$3,0)&gt;=MAX(M$3,$E11),EOMONTH(M$3,0)&lt;=IF($F11="",M$4,MIN(M$4,$F11)))*1+AND(EOMONTH(M$4,0)&lt;&gt;EOMONTH(M$3,0),EOMONTH(M$4,0)&gt;=MAX(M$3,$E11),EOMONTH(M$4,0)&lt;=IF($F11="",M$4,MIN(M$4,$F11)))*1),IF($G11=102,(AND(WORKDAY(EOMONTH(M$3,0)+1,-3)&gt;=MAX(M$3,$E11),WORKDAY(EOMONTH(M$3,0)+1,-3)&lt;=IF($F11="",M$4,MIN(M$4,$F11)))*1+AND(WORKDAY(EOMONTH(M$4,0)+1,-3)&lt;&gt;WORKDAY(EOMONTH(M$3,0)+1,-3),WORKDAY(EOMONTH(M$4,0)+1,-3)&gt;=MAX(M$3,$E11),WORKDAY(EOMONTH(M$4,0)+1,-3)&lt;=IF($F11="",M$4,MIN(M$4,$F11)))*1),IF(AND(IF(EDATE($E11,MAX(0,ROUNDUP(((YEAR(M$3)-YEAR($E11))*12+MONTH(M$3)-MONTH($E11))/$G11,0)*$G11))&lt;M$3,EDATE($E11,MAX(0,ROUNDUP(((YEAR(M$3)-YEAR($E11))*12+MONTH(M$3)-MONTH($E11))/$G11,0)*$G11)+$G11),EDATE($E11,MAX(0,ROUNDUP(((YEAR(M$3)-YEAR($E11))*12+MONTH(M$3)-MONTH($E11))/$G11,0)*$G11)))&gt;=M$3,IF(EDATE($E11,MAX(0,ROUNDUP(((YEAR(M$3)-YEAR($E11))*12+MONTH(M$3)-MONTH($E11))/$G11,0)*$G11))&lt;M$3,EDATE($E11,MAX(0,ROUNDUP(((YEAR(M$3)-YEAR($E11))*12+MONTH(M$3)-MONTH($E11))/$G11,0)*$G11)+$G11),EDATE($E11,MAX(0,ROUNDUP(((YEAR(M$3)-YEAR($E11))*12+MONTH(M$3)-MONTH($E11))/$G11,0)*$G11)))&lt;=IF($F11="",M$4,MIN(M$4,$F11))),1,0)))))</f>
        <v>0</v>
      </c>
      <c r="N11" s="25" t="n">
        <f aca="false">IF(OR($C11="",$C11=0,$E11="",$B11="",$G11=-2),0,$C11*IF($G11=0,IF(IF($F11="",N$4,MIN(N$4,$F11))&lt;$E11,0,MAX(0,INT((IF($F11="",N$4,MIN(N$4,$F11))-$E11)/7)+1-MAX(0,ROUNDUP((N$3-$E11)/7,0)))),IF($G11=101,(AND(EOMONTH(N$3,0)&gt;=MAX(N$3,$E11),EOMONTH(N$3,0)&lt;=IF($F11="",N$4,MIN(N$4,$F11)))*1+AND(EOMONTH(N$4,0)&lt;&gt;EOMONTH(N$3,0),EOMONTH(N$4,0)&gt;=MAX(N$3,$E11),EOMONTH(N$4,0)&lt;=IF($F11="",N$4,MIN(N$4,$F11)))*1),IF($G11=102,(AND(WORKDAY(EOMONTH(N$3,0)+1,-3)&gt;=MAX(N$3,$E11),WORKDAY(EOMONTH(N$3,0)+1,-3)&lt;=IF($F11="",N$4,MIN(N$4,$F11)))*1+AND(WORKDAY(EOMONTH(N$4,0)+1,-3)&lt;&gt;WORKDAY(EOMONTH(N$3,0)+1,-3),WORKDAY(EOMONTH(N$4,0)+1,-3)&gt;=MAX(N$3,$E11),WORKDAY(EOMONTH(N$4,0)+1,-3)&lt;=IF($F11="",N$4,MIN(N$4,$F11)))*1),IF(AND(IF(EDATE($E11,MAX(0,ROUNDUP(((YEAR(N$3)-YEAR($E11))*12+MONTH(N$3)-MONTH($E11))/$G11,0)*$G11))&lt;N$3,EDATE($E11,MAX(0,ROUNDUP(((YEAR(N$3)-YEAR($E11))*12+MONTH(N$3)-MONTH($E11))/$G11,0)*$G11)+$G11),EDATE($E11,MAX(0,ROUNDUP(((YEAR(N$3)-YEAR($E11))*12+MONTH(N$3)-MONTH($E11))/$G11,0)*$G11)))&gt;=N$3,IF(EDATE($E11,MAX(0,ROUNDUP(((YEAR(N$3)-YEAR($E11))*12+MONTH(N$3)-MONTH($E11))/$G11,0)*$G11))&lt;N$3,EDATE($E11,MAX(0,ROUNDUP(((YEAR(N$3)-YEAR($E11))*12+MONTH(N$3)-MONTH($E11))/$G11,0)*$G11)+$G11),EDATE($E11,MAX(0,ROUNDUP(((YEAR(N$3)-YEAR($E11))*12+MONTH(N$3)-MONTH($E11))/$G11,0)*$G11)))&lt;=IF($F11="",N$4,MIN(N$4,$F11))),1,0)))))</f>
        <v>0</v>
      </c>
      <c r="O11" s="25" t="n">
        <f aca="false">IF(OR($C11="",$C11=0,$E11="",$B11="",$G11=-2),0,$C11*IF($G11=0,IF(IF($F11="",O$4,MIN(O$4,$F11))&lt;$E11,0,MAX(0,INT((IF($F11="",O$4,MIN(O$4,$F11))-$E11)/7)+1-MAX(0,ROUNDUP((O$3-$E11)/7,0)))),IF($G11=101,(AND(EOMONTH(O$3,0)&gt;=MAX(O$3,$E11),EOMONTH(O$3,0)&lt;=IF($F11="",O$4,MIN(O$4,$F11)))*1+AND(EOMONTH(O$4,0)&lt;&gt;EOMONTH(O$3,0),EOMONTH(O$4,0)&gt;=MAX(O$3,$E11),EOMONTH(O$4,0)&lt;=IF($F11="",O$4,MIN(O$4,$F11)))*1),IF($G11=102,(AND(WORKDAY(EOMONTH(O$3,0)+1,-3)&gt;=MAX(O$3,$E11),WORKDAY(EOMONTH(O$3,0)+1,-3)&lt;=IF($F11="",O$4,MIN(O$4,$F11)))*1+AND(WORKDAY(EOMONTH(O$4,0)+1,-3)&lt;&gt;WORKDAY(EOMONTH(O$3,0)+1,-3),WORKDAY(EOMONTH(O$4,0)+1,-3)&gt;=MAX(O$3,$E11),WORKDAY(EOMONTH(O$4,0)+1,-3)&lt;=IF($F11="",O$4,MIN(O$4,$F11)))*1),IF(AND(IF(EDATE($E11,MAX(0,ROUNDUP(((YEAR(O$3)-YEAR($E11))*12+MONTH(O$3)-MONTH($E11))/$G11,0)*$G11))&lt;O$3,EDATE($E11,MAX(0,ROUNDUP(((YEAR(O$3)-YEAR($E11))*12+MONTH(O$3)-MONTH($E11))/$G11,0)*$G11)+$G11),EDATE($E11,MAX(0,ROUNDUP(((YEAR(O$3)-YEAR($E11))*12+MONTH(O$3)-MONTH($E11))/$G11,0)*$G11)))&gt;=O$3,IF(EDATE($E11,MAX(0,ROUNDUP(((YEAR(O$3)-YEAR($E11))*12+MONTH(O$3)-MONTH($E11))/$G11,0)*$G11))&lt;O$3,EDATE($E11,MAX(0,ROUNDUP(((YEAR(O$3)-YEAR($E11))*12+MONTH(O$3)-MONTH($E11))/$G11,0)*$G11)+$G11),EDATE($E11,MAX(0,ROUNDUP(((YEAR(O$3)-YEAR($E11))*12+MONTH(O$3)-MONTH($E11))/$G11,0)*$G11)))&lt;=IF($F11="",O$4,MIN(O$4,$F11))),1,0)))))</f>
        <v>0</v>
      </c>
      <c r="P11" s="25" t="n">
        <f aca="false">IF(OR($C11="",$C11=0,$E11="",$B11="",$G11=-2),0,$C11*IF($G11=0,IF(IF($F11="",P$4,MIN(P$4,$F11))&lt;$E11,0,MAX(0,INT((IF($F11="",P$4,MIN(P$4,$F11))-$E11)/7)+1-MAX(0,ROUNDUP((P$3-$E11)/7,0)))),IF($G11=101,(AND(EOMONTH(P$3,0)&gt;=MAX(P$3,$E11),EOMONTH(P$3,0)&lt;=IF($F11="",P$4,MIN(P$4,$F11)))*1+AND(EOMONTH(P$4,0)&lt;&gt;EOMONTH(P$3,0),EOMONTH(P$4,0)&gt;=MAX(P$3,$E11),EOMONTH(P$4,0)&lt;=IF($F11="",P$4,MIN(P$4,$F11)))*1),IF($G11=102,(AND(WORKDAY(EOMONTH(P$3,0)+1,-3)&gt;=MAX(P$3,$E11),WORKDAY(EOMONTH(P$3,0)+1,-3)&lt;=IF($F11="",P$4,MIN(P$4,$F11)))*1+AND(WORKDAY(EOMONTH(P$4,0)+1,-3)&lt;&gt;WORKDAY(EOMONTH(P$3,0)+1,-3),WORKDAY(EOMONTH(P$4,0)+1,-3)&gt;=MAX(P$3,$E11),WORKDAY(EOMONTH(P$4,0)+1,-3)&lt;=IF($F11="",P$4,MIN(P$4,$F11)))*1),IF(AND(IF(EDATE($E11,MAX(0,ROUNDUP(((YEAR(P$3)-YEAR($E11))*12+MONTH(P$3)-MONTH($E11))/$G11,0)*$G11))&lt;P$3,EDATE($E11,MAX(0,ROUNDUP(((YEAR(P$3)-YEAR($E11))*12+MONTH(P$3)-MONTH($E11))/$G11,0)*$G11)+$G11),EDATE($E11,MAX(0,ROUNDUP(((YEAR(P$3)-YEAR($E11))*12+MONTH(P$3)-MONTH($E11))/$G11,0)*$G11)))&gt;=P$3,IF(EDATE($E11,MAX(0,ROUNDUP(((YEAR(P$3)-YEAR($E11))*12+MONTH(P$3)-MONTH($E11))/$G11,0)*$G11))&lt;P$3,EDATE($E11,MAX(0,ROUNDUP(((YEAR(P$3)-YEAR($E11))*12+MONTH(P$3)-MONTH($E11))/$G11,0)*$G11)+$G11),EDATE($E11,MAX(0,ROUNDUP(((YEAR(P$3)-YEAR($E11))*12+MONTH(P$3)-MONTH($E11))/$G11,0)*$G11)))&lt;=IF($F11="",P$4,MIN(P$4,$F11))),1,0)))))</f>
        <v>0</v>
      </c>
      <c r="Q11" s="25" t="n">
        <f aca="false">IF(OR($C11="",$C11=0,$E11="",$B11="",$G11=-2),0,$C11*IF($G11=0,IF(IF($F11="",Q$4,MIN(Q$4,$F11))&lt;$E11,0,MAX(0,INT((IF($F11="",Q$4,MIN(Q$4,$F11))-$E11)/7)+1-MAX(0,ROUNDUP((Q$3-$E11)/7,0)))),IF($G11=101,(AND(EOMONTH(Q$3,0)&gt;=MAX(Q$3,$E11),EOMONTH(Q$3,0)&lt;=IF($F11="",Q$4,MIN(Q$4,$F11)))*1+AND(EOMONTH(Q$4,0)&lt;&gt;EOMONTH(Q$3,0),EOMONTH(Q$4,0)&gt;=MAX(Q$3,$E11),EOMONTH(Q$4,0)&lt;=IF($F11="",Q$4,MIN(Q$4,$F11)))*1),IF($G11=102,(AND(WORKDAY(EOMONTH(Q$3,0)+1,-3)&gt;=MAX(Q$3,$E11),WORKDAY(EOMONTH(Q$3,0)+1,-3)&lt;=IF($F11="",Q$4,MIN(Q$4,$F11)))*1+AND(WORKDAY(EOMONTH(Q$4,0)+1,-3)&lt;&gt;WORKDAY(EOMONTH(Q$3,0)+1,-3),WORKDAY(EOMONTH(Q$4,0)+1,-3)&gt;=MAX(Q$3,$E11),WORKDAY(EOMONTH(Q$4,0)+1,-3)&lt;=IF($F11="",Q$4,MIN(Q$4,$F11)))*1),IF(AND(IF(EDATE($E11,MAX(0,ROUNDUP(((YEAR(Q$3)-YEAR($E11))*12+MONTH(Q$3)-MONTH($E11))/$G11,0)*$G11))&lt;Q$3,EDATE($E11,MAX(0,ROUNDUP(((YEAR(Q$3)-YEAR($E11))*12+MONTH(Q$3)-MONTH($E11))/$G11,0)*$G11)+$G11),EDATE($E11,MAX(0,ROUNDUP(((YEAR(Q$3)-YEAR($E11))*12+MONTH(Q$3)-MONTH($E11))/$G11,0)*$G11)))&gt;=Q$3,IF(EDATE($E11,MAX(0,ROUNDUP(((YEAR(Q$3)-YEAR($E11))*12+MONTH(Q$3)-MONTH($E11))/$G11,0)*$G11))&lt;Q$3,EDATE($E11,MAX(0,ROUNDUP(((YEAR(Q$3)-YEAR($E11))*12+MONTH(Q$3)-MONTH($E11))/$G11,0)*$G11)+$G11),EDATE($E11,MAX(0,ROUNDUP(((YEAR(Q$3)-YEAR($E11))*12+MONTH(Q$3)-MONTH($E11))/$G11,0)*$G11)))&lt;=IF($F11="",Q$4,MIN(Q$4,$F11))),1,0)))))</f>
        <v>0</v>
      </c>
      <c r="R11" s="25" t="n">
        <f aca="false">IF(OR($C11="",$C11=0,$E11="",$B11="",$G11=-2),0,$C11*IF($G11=0,IF(IF($F11="",R$4,MIN(R$4,$F11))&lt;$E11,0,MAX(0,INT((IF($F11="",R$4,MIN(R$4,$F11))-$E11)/7)+1-MAX(0,ROUNDUP((R$3-$E11)/7,0)))),IF($G11=101,(AND(EOMONTH(R$3,0)&gt;=MAX(R$3,$E11),EOMONTH(R$3,0)&lt;=IF($F11="",R$4,MIN(R$4,$F11)))*1+AND(EOMONTH(R$4,0)&lt;&gt;EOMONTH(R$3,0),EOMONTH(R$4,0)&gt;=MAX(R$3,$E11),EOMONTH(R$4,0)&lt;=IF($F11="",R$4,MIN(R$4,$F11)))*1),IF($G11=102,(AND(WORKDAY(EOMONTH(R$3,0)+1,-3)&gt;=MAX(R$3,$E11),WORKDAY(EOMONTH(R$3,0)+1,-3)&lt;=IF($F11="",R$4,MIN(R$4,$F11)))*1+AND(WORKDAY(EOMONTH(R$4,0)+1,-3)&lt;&gt;WORKDAY(EOMONTH(R$3,0)+1,-3),WORKDAY(EOMONTH(R$4,0)+1,-3)&gt;=MAX(R$3,$E11),WORKDAY(EOMONTH(R$4,0)+1,-3)&lt;=IF($F11="",R$4,MIN(R$4,$F11)))*1),IF(AND(IF(EDATE($E11,MAX(0,ROUNDUP(((YEAR(R$3)-YEAR($E11))*12+MONTH(R$3)-MONTH($E11))/$G11,0)*$G11))&lt;R$3,EDATE($E11,MAX(0,ROUNDUP(((YEAR(R$3)-YEAR($E11))*12+MONTH(R$3)-MONTH($E11))/$G11,0)*$G11)+$G11),EDATE($E11,MAX(0,ROUNDUP(((YEAR(R$3)-YEAR($E11))*12+MONTH(R$3)-MONTH($E11))/$G11,0)*$G11)))&gt;=R$3,IF(EDATE($E11,MAX(0,ROUNDUP(((YEAR(R$3)-YEAR($E11))*12+MONTH(R$3)-MONTH($E11))/$G11,0)*$G11))&lt;R$3,EDATE($E11,MAX(0,ROUNDUP(((YEAR(R$3)-YEAR($E11))*12+MONTH(R$3)-MONTH($E11))/$G11,0)*$G11)+$G11),EDATE($E11,MAX(0,ROUNDUP(((YEAR(R$3)-YEAR($E11))*12+MONTH(R$3)-MONTH($E11))/$G11,0)*$G11)))&lt;=IF($F11="",R$4,MIN(R$4,$F11))),1,0)))))</f>
        <v>0</v>
      </c>
      <c r="S11" s="25" t="n">
        <f aca="false">IF(OR($C11="",$C11=0,$E11="",$B11="",$G11=-2),0,$C11*IF($G11=0,IF(IF($F11="",S$4,MIN(S$4,$F11))&lt;$E11,0,MAX(0,INT((IF($F11="",S$4,MIN(S$4,$F11))-$E11)/7)+1-MAX(0,ROUNDUP((S$3-$E11)/7,0)))),IF($G11=101,(AND(EOMONTH(S$3,0)&gt;=MAX(S$3,$E11),EOMONTH(S$3,0)&lt;=IF($F11="",S$4,MIN(S$4,$F11)))*1+AND(EOMONTH(S$4,0)&lt;&gt;EOMONTH(S$3,0),EOMONTH(S$4,0)&gt;=MAX(S$3,$E11),EOMONTH(S$4,0)&lt;=IF($F11="",S$4,MIN(S$4,$F11)))*1),IF($G11=102,(AND(WORKDAY(EOMONTH(S$3,0)+1,-3)&gt;=MAX(S$3,$E11),WORKDAY(EOMONTH(S$3,0)+1,-3)&lt;=IF($F11="",S$4,MIN(S$4,$F11)))*1+AND(WORKDAY(EOMONTH(S$4,0)+1,-3)&lt;&gt;WORKDAY(EOMONTH(S$3,0)+1,-3),WORKDAY(EOMONTH(S$4,0)+1,-3)&gt;=MAX(S$3,$E11),WORKDAY(EOMONTH(S$4,0)+1,-3)&lt;=IF($F11="",S$4,MIN(S$4,$F11)))*1),IF(AND(IF(EDATE($E11,MAX(0,ROUNDUP(((YEAR(S$3)-YEAR($E11))*12+MONTH(S$3)-MONTH($E11))/$G11,0)*$G11))&lt;S$3,EDATE($E11,MAX(0,ROUNDUP(((YEAR(S$3)-YEAR($E11))*12+MONTH(S$3)-MONTH($E11))/$G11,0)*$G11)+$G11),EDATE($E11,MAX(0,ROUNDUP(((YEAR(S$3)-YEAR($E11))*12+MONTH(S$3)-MONTH($E11))/$G11,0)*$G11)))&gt;=S$3,IF(EDATE($E11,MAX(0,ROUNDUP(((YEAR(S$3)-YEAR($E11))*12+MONTH(S$3)-MONTH($E11))/$G11,0)*$G11))&lt;S$3,EDATE($E11,MAX(0,ROUNDUP(((YEAR(S$3)-YEAR($E11))*12+MONTH(S$3)-MONTH($E11))/$G11,0)*$G11)+$G11),EDATE($E11,MAX(0,ROUNDUP(((YEAR(S$3)-YEAR($E11))*12+MONTH(S$3)-MONTH($E11))/$G11,0)*$G11)))&lt;=IF($F11="",S$4,MIN(S$4,$F11))),1,0)))))</f>
        <v>0</v>
      </c>
      <c r="T11" s="25" t="n">
        <f aca="false">IF(OR($C11="",$C11=0,$E11="",$B11="",$G11=-2),0,$C11*IF($G11=0,IF(IF($F11="",T$4,MIN(T$4,$F11))&lt;$E11,0,MAX(0,INT((IF($F11="",T$4,MIN(T$4,$F11))-$E11)/7)+1-MAX(0,ROUNDUP((T$3-$E11)/7,0)))),IF($G11=101,(AND(EOMONTH(T$3,0)&gt;=MAX(T$3,$E11),EOMONTH(T$3,0)&lt;=IF($F11="",T$4,MIN(T$4,$F11)))*1+AND(EOMONTH(T$4,0)&lt;&gt;EOMONTH(T$3,0),EOMONTH(T$4,0)&gt;=MAX(T$3,$E11),EOMONTH(T$4,0)&lt;=IF($F11="",T$4,MIN(T$4,$F11)))*1),IF($G11=102,(AND(WORKDAY(EOMONTH(T$3,0)+1,-3)&gt;=MAX(T$3,$E11),WORKDAY(EOMONTH(T$3,0)+1,-3)&lt;=IF($F11="",T$4,MIN(T$4,$F11)))*1+AND(WORKDAY(EOMONTH(T$4,0)+1,-3)&lt;&gt;WORKDAY(EOMONTH(T$3,0)+1,-3),WORKDAY(EOMONTH(T$4,0)+1,-3)&gt;=MAX(T$3,$E11),WORKDAY(EOMONTH(T$4,0)+1,-3)&lt;=IF($F11="",T$4,MIN(T$4,$F11)))*1),IF(AND(IF(EDATE($E11,MAX(0,ROUNDUP(((YEAR(T$3)-YEAR($E11))*12+MONTH(T$3)-MONTH($E11))/$G11,0)*$G11))&lt;T$3,EDATE($E11,MAX(0,ROUNDUP(((YEAR(T$3)-YEAR($E11))*12+MONTH(T$3)-MONTH($E11))/$G11,0)*$G11)+$G11),EDATE($E11,MAX(0,ROUNDUP(((YEAR(T$3)-YEAR($E11))*12+MONTH(T$3)-MONTH($E11))/$G11,0)*$G11)))&gt;=T$3,IF(EDATE($E11,MAX(0,ROUNDUP(((YEAR(T$3)-YEAR($E11))*12+MONTH(T$3)-MONTH($E11))/$G11,0)*$G11))&lt;T$3,EDATE($E11,MAX(0,ROUNDUP(((YEAR(T$3)-YEAR($E11))*12+MONTH(T$3)-MONTH($E11))/$G11,0)*$G11)+$G11),EDATE($E11,MAX(0,ROUNDUP(((YEAR(T$3)-YEAR($E11))*12+MONTH(T$3)-MONTH($E11))/$G11,0)*$G11)))&lt;=IF($F11="",T$4,MIN(T$4,$F11))),1,0)))))</f>
        <v>0</v>
      </c>
      <c r="U11" s="25" t="n">
        <f aca="false">IF(OR($C11="",$C11=0,$E11="",$B11="",$G11=-2),0,$C11*IF($G11=0,IF(IF($F11="",U$4,MIN(U$4,$F11))&lt;$E11,0,MAX(0,INT((IF($F11="",U$4,MIN(U$4,$F11))-$E11)/7)+1-MAX(0,ROUNDUP((U$3-$E11)/7,0)))),IF($G11=101,(AND(EOMONTH(U$3,0)&gt;=MAX(U$3,$E11),EOMONTH(U$3,0)&lt;=IF($F11="",U$4,MIN(U$4,$F11)))*1+AND(EOMONTH(U$4,0)&lt;&gt;EOMONTH(U$3,0),EOMONTH(U$4,0)&gt;=MAX(U$3,$E11),EOMONTH(U$4,0)&lt;=IF($F11="",U$4,MIN(U$4,$F11)))*1),IF($G11=102,(AND(WORKDAY(EOMONTH(U$3,0)+1,-3)&gt;=MAX(U$3,$E11),WORKDAY(EOMONTH(U$3,0)+1,-3)&lt;=IF($F11="",U$4,MIN(U$4,$F11)))*1+AND(WORKDAY(EOMONTH(U$4,0)+1,-3)&lt;&gt;WORKDAY(EOMONTH(U$3,0)+1,-3),WORKDAY(EOMONTH(U$4,0)+1,-3)&gt;=MAX(U$3,$E11),WORKDAY(EOMONTH(U$4,0)+1,-3)&lt;=IF($F11="",U$4,MIN(U$4,$F11)))*1),IF(AND(IF(EDATE($E11,MAX(0,ROUNDUP(((YEAR(U$3)-YEAR($E11))*12+MONTH(U$3)-MONTH($E11))/$G11,0)*$G11))&lt;U$3,EDATE($E11,MAX(0,ROUNDUP(((YEAR(U$3)-YEAR($E11))*12+MONTH(U$3)-MONTH($E11))/$G11,0)*$G11)+$G11),EDATE($E11,MAX(0,ROUNDUP(((YEAR(U$3)-YEAR($E11))*12+MONTH(U$3)-MONTH($E11))/$G11,0)*$G11)))&gt;=U$3,IF(EDATE($E11,MAX(0,ROUNDUP(((YEAR(U$3)-YEAR($E11))*12+MONTH(U$3)-MONTH($E11))/$G11,0)*$G11))&lt;U$3,EDATE($E11,MAX(0,ROUNDUP(((YEAR(U$3)-YEAR($E11))*12+MONTH(U$3)-MONTH($E11))/$G11,0)*$G11)+$G11),EDATE($E11,MAX(0,ROUNDUP(((YEAR(U$3)-YEAR($E11))*12+MONTH(U$3)-MONTH($E11))/$G11,0)*$G11)))&lt;=IF($F11="",U$4,MIN(U$4,$F11))),1,0)))))</f>
        <v>0</v>
      </c>
      <c r="V11" s="25" t="n">
        <f aca="false">IF(OR($C11="",$C11=0,$E11="",$B11="",$G11=-2),0,$C11*IF($G11=0,IF(IF($F11="",V$4,MIN(V$4,$F11))&lt;$E11,0,MAX(0,INT((IF($F11="",V$4,MIN(V$4,$F11))-$E11)/7)+1-MAX(0,ROUNDUP((V$3-$E11)/7,0)))),IF($G11=101,(AND(EOMONTH(V$3,0)&gt;=MAX(V$3,$E11),EOMONTH(V$3,0)&lt;=IF($F11="",V$4,MIN(V$4,$F11)))*1+AND(EOMONTH(V$4,0)&lt;&gt;EOMONTH(V$3,0),EOMONTH(V$4,0)&gt;=MAX(V$3,$E11),EOMONTH(V$4,0)&lt;=IF($F11="",V$4,MIN(V$4,$F11)))*1),IF($G11=102,(AND(WORKDAY(EOMONTH(V$3,0)+1,-3)&gt;=MAX(V$3,$E11),WORKDAY(EOMONTH(V$3,0)+1,-3)&lt;=IF($F11="",V$4,MIN(V$4,$F11)))*1+AND(WORKDAY(EOMONTH(V$4,0)+1,-3)&lt;&gt;WORKDAY(EOMONTH(V$3,0)+1,-3),WORKDAY(EOMONTH(V$4,0)+1,-3)&gt;=MAX(V$3,$E11),WORKDAY(EOMONTH(V$4,0)+1,-3)&lt;=IF($F11="",V$4,MIN(V$4,$F11)))*1),IF(AND(IF(EDATE($E11,MAX(0,ROUNDUP(((YEAR(V$3)-YEAR($E11))*12+MONTH(V$3)-MONTH($E11))/$G11,0)*$G11))&lt;V$3,EDATE($E11,MAX(0,ROUNDUP(((YEAR(V$3)-YEAR($E11))*12+MONTH(V$3)-MONTH($E11))/$G11,0)*$G11)+$G11),EDATE($E11,MAX(0,ROUNDUP(((YEAR(V$3)-YEAR($E11))*12+MONTH(V$3)-MONTH($E11))/$G11,0)*$G11)))&gt;=V$3,IF(EDATE($E11,MAX(0,ROUNDUP(((YEAR(V$3)-YEAR($E11))*12+MONTH(V$3)-MONTH($E11))/$G11,0)*$G11))&lt;V$3,EDATE($E11,MAX(0,ROUNDUP(((YEAR(V$3)-YEAR($E11))*12+MONTH(V$3)-MONTH($E11))/$G11,0)*$G11)+$G11),EDATE($E11,MAX(0,ROUNDUP(((YEAR(V$3)-YEAR($E11))*12+MONTH(V$3)-MONTH($E11))/$G11,0)*$G11)))&lt;=IF($F11="",V$4,MIN(V$4,$F11))),1,0)))))</f>
        <v>0</v>
      </c>
      <c r="W11" s="25" t="n">
        <f aca="false">IF(OR($C11="",$C11=0,$E11="",$B11="",$G11=-2),0,$C11*IF($G11=0,IF(IF($F11="",W$4,MIN(W$4,$F11))&lt;$E11,0,MAX(0,INT((IF($F11="",W$4,MIN(W$4,$F11))-$E11)/7)+1-MAX(0,ROUNDUP((W$3-$E11)/7,0)))),IF($G11=101,(AND(EOMONTH(W$3,0)&gt;=MAX(W$3,$E11),EOMONTH(W$3,0)&lt;=IF($F11="",W$4,MIN(W$4,$F11)))*1+AND(EOMONTH(W$4,0)&lt;&gt;EOMONTH(W$3,0),EOMONTH(W$4,0)&gt;=MAX(W$3,$E11),EOMONTH(W$4,0)&lt;=IF($F11="",W$4,MIN(W$4,$F11)))*1),IF($G11=102,(AND(WORKDAY(EOMONTH(W$3,0)+1,-3)&gt;=MAX(W$3,$E11),WORKDAY(EOMONTH(W$3,0)+1,-3)&lt;=IF($F11="",W$4,MIN(W$4,$F11)))*1+AND(WORKDAY(EOMONTH(W$4,0)+1,-3)&lt;&gt;WORKDAY(EOMONTH(W$3,0)+1,-3),WORKDAY(EOMONTH(W$4,0)+1,-3)&gt;=MAX(W$3,$E11),WORKDAY(EOMONTH(W$4,0)+1,-3)&lt;=IF($F11="",W$4,MIN(W$4,$F11)))*1),IF(AND(IF(EDATE($E11,MAX(0,ROUNDUP(((YEAR(W$3)-YEAR($E11))*12+MONTH(W$3)-MONTH($E11))/$G11,0)*$G11))&lt;W$3,EDATE($E11,MAX(0,ROUNDUP(((YEAR(W$3)-YEAR($E11))*12+MONTH(W$3)-MONTH($E11))/$G11,0)*$G11)+$G11),EDATE($E11,MAX(0,ROUNDUP(((YEAR(W$3)-YEAR($E11))*12+MONTH(W$3)-MONTH($E11))/$G11,0)*$G11)))&gt;=W$3,IF(EDATE($E11,MAX(0,ROUNDUP(((YEAR(W$3)-YEAR($E11))*12+MONTH(W$3)-MONTH($E11))/$G11,0)*$G11))&lt;W$3,EDATE($E11,MAX(0,ROUNDUP(((YEAR(W$3)-YEAR($E11))*12+MONTH(W$3)-MONTH($E11))/$G11,0)*$G11)+$G11),EDATE($E11,MAX(0,ROUNDUP(((YEAR(W$3)-YEAR($E11))*12+MONTH(W$3)-MONTH($E11))/$G11,0)*$G11)))&lt;=IF($F11="",W$4,MIN(W$4,$F11))),1,0)))))</f>
        <v>0</v>
      </c>
      <c r="X11" s="25" t="n">
        <f aca="false">IF(OR($C11="",$C11=0,$E11="",$B11="",$G11=-2),0,$C11*IF($G11=0,IF(IF($F11="",X$4,MIN(X$4,$F11))&lt;$E11,0,MAX(0,INT((IF($F11="",X$4,MIN(X$4,$F11))-$E11)/7)+1-MAX(0,ROUNDUP((X$3-$E11)/7,0)))),IF($G11=101,(AND(EOMONTH(X$3,0)&gt;=MAX(X$3,$E11),EOMONTH(X$3,0)&lt;=IF($F11="",X$4,MIN(X$4,$F11)))*1+AND(EOMONTH(X$4,0)&lt;&gt;EOMONTH(X$3,0),EOMONTH(X$4,0)&gt;=MAX(X$3,$E11),EOMONTH(X$4,0)&lt;=IF($F11="",X$4,MIN(X$4,$F11)))*1),IF($G11=102,(AND(WORKDAY(EOMONTH(X$3,0)+1,-3)&gt;=MAX(X$3,$E11),WORKDAY(EOMONTH(X$3,0)+1,-3)&lt;=IF($F11="",X$4,MIN(X$4,$F11)))*1+AND(WORKDAY(EOMONTH(X$4,0)+1,-3)&lt;&gt;WORKDAY(EOMONTH(X$3,0)+1,-3),WORKDAY(EOMONTH(X$4,0)+1,-3)&gt;=MAX(X$3,$E11),WORKDAY(EOMONTH(X$4,0)+1,-3)&lt;=IF($F11="",X$4,MIN(X$4,$F11)))*1),IF(AND(IF(EDATE($E11,MAX(0,ROUNDUP(((YEAR(X$3)-YEAR($E11))*12+MONTH(X$3)-MONTH($E11))/$G11,0)*$G11))&lt;X$3,EDATE($E11,MAX(0,ROUNDUP(((YEAR(X$3)-YEAR($E11))*12+MONTH(X$3)-MONTH($E11))/$G11,0)*$G11)+$G11),EDATE($E11,MAX(0,ROUNDUP(((YEAR(X$3)-YEAR($E11))*12+MONTH(X$3)-MONTH($E11))/$G11,0)*$G11)))&gt;=X$3,IF(EDATE($E11,MAX(0,ROUNDUP(((YEAR(X$3)-YEAR($E11))*12+MONTH(X$3)-MONTH($E11))/$G11,0)*$G11))&lt;X$3,EDATE($E11,MAX(0,ROUNDUP(((YEAR(X$3)-YEAR($E11))*12+MONTH(X$3)-MONTH($E11))/$G11,0)*$G11)+$G11),EDATE($E11,MAX(0,ROUNDUP(((YEAR(X$3)-YEAR($E11))*12+MONTH(X$3)-MONTH($E11))/$G11,0)*$G11)))&lt;=IF($F11="",X$4,MIN(X$4,$F11))),1,0)))))</f>
        <v>0</v>
      </c>
      <c r="Y11" s="25" t="n">
        <f aca="false">IF(OR($C11="",$C11=0,$E11="",$B11="",$G11=-2),0,$C11*IF($G11=0,IF(IF($F11="",Y$4,MIN(Y$4,$F11))&lt;$E11,0,MAX(0,INT((IF($F11="",Y$4,MIN(Y$4,$F11))-$E11)/7)+1-MAX(0,ROUNDUP((Y$3-$E11)/7,0)))),IF($G11=101,(AND(EOMONTH(Y$3,0)&gt;=MAX(Y$3,$E11),EOMONTH(Y$3,0)&lt;=IF($F11="",Y$4,MIN(Y$4,$F11)))*1+AND(EOMONTH(Y$4,0)&lt;&gt;EOMONTH(Y$3,0),EOMONTH(Y$4,0)&gt;=MAX(Y$3,$E11),EOMONTH(Y$4,0)&lt;=IF($F11="",Y$4,MIN(Y$4,$F11)))*1),IF($G11=102,(AND(WORKDAY(EOMONTH(Y$3,0)+1,-3)&gt;=MAX(Y$3,$E11),WORKDAY(EOMONTH(Y$3,0)+1,-3)&lt;=IF($F11="",Y$4,MIN(Y$4,$F11)))*1+AND(WORKDAY(EOMONTH(Y$4,0)+1,-3)&lt;&gt;WORKDAY(EOMONTH(Y$3,0)+1,-3),WORKDAY(EOMONTH(Y$4,0)+1,-3)&gt;=MAX(Y$3,$E11),WORKDAY(EOMONTH(Y$4,0)+1,-3)&lt;=IF($F11="",Y$4,MIN(Y$4,$F11)))*1),IF(AND(IF(EDATE($E11,MAX(0,ROUNDUP(((YEAR(Y$3)-YEAR($E11))*12+MONTH(Y$3)-MONTH($E11))/$G11,0)*$G11))&lt;Y$3,EDATE($E11,MAX(0,ROUNDUP(((YEAR(Y$3)-YEAR($E11))*12+MONTH(Y$3)-MONTH($E11))/$G11,0)*$G11)+$G11),EDATE($E11,MAX(0,ROUNDUP(((YEAR(Y$3)-YEAR($E11))*12+MONTH(Y$3)-MONTH($E11))/$G11,0)*$G11)))&gt;=Y$3,IF(EDATE($E11,MAX(0,ROUNDUP(((YEAR(Y$3)-YEAR($E11))*12+MONTH(Y$3)-MONTH($E11))/$G11,0)*$G11))&lt;Y$3,EDATE($E11,MAX(0,ROUNDUP(((YEAR(Y$3)-YEAR($E11))*12+MONTH(Y$3)-MONTH($E11))/$G11,0)*$G11)+$G11),EDATE($E11,MAX(0,ROUNDUP(((YEAR(Y$3)-YEAR($E11))*12+MONTH(Y$3)-MONTH($E11))/$G11,0)*$G11)))&lt;=IF($F11="",Y$4,MIN(Y$4,$F11))),1,0)))))</f>
        <v>0</v>
      </c>
      <c r="Z11" s="25" t="n">
        <f aca="false">IF(OR($C11="",$C11=0,$E11="",$B11="",$G11=-2),0,$C11*IF($G11=0,IF(IF($F11="",Z$4,MIN(Z$4,$F11))&lt;$E11,0,MAX(0,INT((IF($F11="",Z$4,MIN(Z$4,$F11))-$E11)/7)+1-MAX(0,ROUNDUP((Z$3-$E11)/7,0)))),IF($G11=101,(AND(EOMONTH(Z$3,0)&gt;=MAX(Z$3,$E11),EOMONTH(Z$3,0)&lt;=IF($F11="",Z$4,MIN(Z$4,$F11)))*1+AND(EOMONTH(Z$4,0)&lt;&gt;EOMONTH(Z$3,0),EOMONTH(Z$4,0)&gt;=MAX(Z$3,$E11),EOMONTH(Z$4,0)&lt;=IF($F11="",Z$4,MIN(Z$4,$F11)))*1),IF($G11=102,(AND(WORKDAY(EOMONTH(Z$3,0)+1,-3)&gt;=MAX(Z$3,$E11),WORKDAY(EOMONTH(Z$3,0)+1,-3)&lt;=IF($F11="",Z$4,MIN(Z$4,$F11)))*1+AND(WORKDAY(EOMONTH(Z$4,0)+1,-3)&lt;&gt;WORKDAY(EOMONTH(Z$3,0)+1,-3),WORKDAY(EOMONTH(Z$4,0)+1,-3)&gt;=MAX(Z$3,$E11),WORKDAY(EOMONTH(Z$4,0)+1,-3)&lt;=IF($F11="",Z$4,MIN(Z$4,$F11)))*1),IF(AND(IF(EDATE($E11,MAX(0,ROUNDUP(((YEAR(Z$3)-YEAR($E11))*12+MONTH(Z$3)-MONTH($E11))/$G11,0)*$G11))&lt;Z$3,EDATE($E11,MAX(0,ROUNDUP(((YEAR(Z$3)-YEAR($E11))*12+MONTH(Z$3)-MONTH($E11))/$G11,0)*$G11)+$G11),EDATE($E11,MAX(0,ROUNDUP(((YEAR(Z$3)-YEAR($E11))*12+MONTH(Z$3)-MONTH($E11))/$G11,0)*$G11)))&gt;=Z$3,IF(EDATE($E11,MAX(0,ROUNDUP(((YEAR(Z$3)-YEAR($E11))*12+MONTH(Z$3)-MONTH($E11))/$G11,0)*$G11))&lt;Z$3,EDATE($E11,MAX(0,ROUNDUP(((YEAR(Z$3)-YEAR($E11))*12+MONTH(Z$3)-MONTH($E11))/$G11,0)*$G11)+$G11),EDATE($E11,MAX(0,ROUNDUP(((YEAR(Z$3)-YEAR($E11))*12+MONTH(Z$3)-MONTH($E11))/$G11,0)*$G11)))&lt;=IF($F11="",Z$4,MIN(Z$4,$F11))),1,0)))))</f>
        <v>0</v>
      </c>
      <c r="AA11" s="25" t="n">
        <f aca="false">IF(OR($C11="",$C11=0,$E11="",$B11="",$G11=-2),0,$C11*IF($G11=0,IF(IF($F11="",AA$4,MIN(AA$4,$F11))&lt;$E11,0,MAX(0,INT((IF($F11="",AA$4,MIN(AA$4,$F11))-$E11)/7)+1-MAX(0,ROUNDUP((AA$3-$E11)/7,0)))),IF($G11=101,(AND(EOMONTH(AA$3,0)&gt;=MAX(AA$3,$E11),EOMONTH(AA$3,0)&lt;=IF($F11="",AA$4,MIN(AA$4,$F11)))*1+AND(EOMONTH(AA$4,0)&lt;&gt;EOMONTH(AA$3,0),EOMONTH(AA$4,0)&gt;=MAX(AA$3,$E11),EOMONTH(AA$4,0)&lt;=IF($F11="",AA$4,MIN(AA$4,$F11)))*1),IF($G11=102,(AND(WORKDAY(EOMONTH(AA$3,0)+1,-3)&gt;=MAX(AA$3,$E11),WORKDAY(EOMONTH(AA$3,0)+1,-3)&lt;=IF($F11="",AA$4,MIN(AA$4,$F11)))*1+AND(WORKDAY(EOMONTH(AA$4,0)+1,-3)&lt;&gt;WORKDAY(EOMONTH(AA$3,0)+1,-3),WORKDAY(EOMONTH(AA$4,0)+1,-3)&gt;=MAX(AA$3,$E11),WORKDAY(EOMONTH(AA$4,0)+1,-3)&lt;=IF($F11="",AA$4,MIN(AA$4,$F11)))*1),IF(AND(IF(EDATE($E11,MAX(0,ROUNDUP(((YEAR(AA$3)-YEAR($E11))*12+MONTH(AA$3)-MONTH($E11))/$G11,0)*$G11))&lt;AA$3,EDATE($E11,MAX(0,ROUNDUP(((YEAR(AA$3)-YEAR($E11))*12+MONTH(AA$3)-MONTH($E11))/$G11,0)*$G11)+$G11),EDATE($E11,MAX(0,ROUNDUP(((YEAR(AA$3)-YEAR($E11))*12+MONTH(AA$3)-MONTH($E11))/$G11,0)*$G11)))&gt;=AA$3,IF(EDATE($E11,MAX(0,ROUNDUP(((YEAR(AA$3)-YEAR($E11))*12+MONTH(AA$3)-MONTH($E11))/$G11,0)*$G11))&lt;AA$3,EDATE($E11,MAX(0,ROUNDUP(((YEAR(AA$3)-YEAR($E11))*12+MONTH(AA$3)-MONTH($E11))/$G11,0)*$G11)+$G11),EDATE($E11,MAX(0,ROUNDUP(((YEAR(AA$3)-YEAR($E11))*12+MONTH(AA$3)-MONTH($E11))/$G11,0)*$G11)))&lt;=IF($F11="",AA$4,MIN(AA$4,$F11))),1,0)))))</f>
        <v>0</v>
      </c>
      <c r="AB11" s="25" t="n">
        <f aca="false">IF(OR($C11="",$C11=0,$E11="",$B11="",$G11=-2),0,$C11*IF($G11=0,IF(IF($F11="",AB$4,MIN(AB$4,$F11))&lt;$E11,0,MAX(0,INT((IF($F11="",AB$4,MIN(AB$4,$F11))-$E11)/7)+1-MAX(0,ROUNDUP((AB$3-$E11)/7,0)))),IF($G11=101,(AND(EOMONTH(AB$3,0)&gt;=MAX(AB$3,$E11),EOMONTH(AB$3,0)&lt;=IF($F11="",AB$4,MIN(AB$4,$F11)))*1+AND(EOMONTH(AB$4,0)&lt;&gt;EOMONTH(AB$3,0),EOMONTH(AB$4,0)&gt;=MAX(AB$3,$E11),EOMONTH(AB$4,0)&lt;=IF($F11="",AB$4,MIN(AB$4,$F11)))*1),IF($G11=102,(AND(WORKDAY(EOMONTH(AB$3,0)+1,-3)&gt;=MAX(AB$3,$E11),WORKDAY(EOMONTH(AB$3,0)+1,-3)&lt;=IF($F11="",AB$4,MIN(AB$4,$F11)))*1+AND(WORKDAY(EOMONTH(AB$4,0)+1,-3)&lt;&gt;WORKDAY(EOMONTH(AB$3,0)+1,-3),WORKDAY(EOMONTH(AB$4,0)+1,-3)&gt;=MAX(AB$3,$E11),WORKDAY(EOMONTH(AB$4,0)+1,-3)&lt;=IF($F11="",AB$4,MIN(AB$4,$F11)))*1),IF(AND(IF(EDATE($E11,MAX(0,ROUNDUP(((YEAR(AB$3)-YEAR($E11))*12+MONTH(AB$3)-MONTH($E11))/$G11,0)*$G11))&lt;AB$3,EDATE($E11,MAX(0,ROUNDUP(((YEAR(AB$3)-YEAR($E11))*12+MONTH(AB$3)-MONTH($E11))/$G11,0)*$G11)+$G11),EDATE($E11,MAX(0,ROUNDUP(((YEAR(AB$3)-YEAR($E11))*12+MONTH(AB$3)-MONTH($E11))/$G11,0)*$G11)))&gt;=AB$3,IF(EDATE($E11,MAX(0,ROUNDUP(((YEAR(AB$3)-YEAR($E11))*12+MONTH(AB$3)-MONTH($E11))/$G11,0)*$G11))&lt;AB$3,EDATE($E11,MAX(0,ROUNDUP(((YEAR(AB$3)-YEAR($E11))*12+MONTH(AB$3)-MONTH($E11))/$G11,0)*$G11)+$G11),EDATE($E11,MAX(0,ROUNDUP(((YEAR(AB$3)-YEAR($E11))*12+MONTH(AB$3)-MONTH($E11))/$G11,0)*$G11)))&lt;=IF($F11="",AB$4,MIN(AB$4,$F11))),1,0)))))</f>
        <v>0</v>
      </c>
      <c r="AC11" s="25" t="n">
        <f aca="false">IF(OR($C11="",$C11=0,$E11="",$B11="",$G11=-2),0,$C11*IF($G11=0,IF(IF($F11="",AC$4,MIN(AC$4,$F11))&lt;$E11,0,MAX(0,INT((IF($F11="",AC$4,MIN(AC$4,$F11))-$E11)/7)+1-MAX(0,ROUNDUP((AC$3-$E11)/7,0)))),IF($G11=101,(AND(EOMONTH(AC$3,0)&gt;=MAX(AC$3,$E11),EOMONTH(AC$3,0)&lt;=IF($F11="",AC$4,MIN(AC$4,$F11)))*1+AND(EOMONTH(AC$4,0)&lt;&gt;EOMONTH(AC$3,0),EOMONTH(AC$4,0)&gt;=MAX(AC$3,$E11),EOMONTH(AC$4,0)&lt;=IF($F11="",AC$4,MIN(AC$4,$F11)))*1),IF($G11=102,(AND(WORKDAY(EOMONTH(AC$3,0)+1,-3)&gt;=MAX(AC$3,$E11),WORKDAY(EOMONTH(AC$3,0)+1,-3)&lt;=IF($F11="",AC$4,MIN(AC$4,$F11)))*1+AND(WORKDAY(EOMONTH(AC$4,0)+1,-3)&lt;&gt;WORKDAY(EOMONTH(AC$3,0)+1,-3),WORKDAY(EOMONTH(AC$4,0)+1,-3)&gt;=MAX(AC$3,$E11),WORKDAY(EOMONTH(AC$4,0)+1,-3)&lt;=IF($F11="",AC$4,MIN(AC$4,$F11)))*1),IF(AND(IF(EDATE($E11,MAX(0,ROUNDUP(((YEAR(AC$3)-YEAR($E11))*12+MONTH(AC$3)-MONTH($E11))/$G11,0)*$G11))&lt;AC$3,EDATE($E11,MAX(0,ROUNDUP(((YEAR(AC$3)-YEAR($E11))*12+MONTH(AC$3)-MONTH($E11))/$G11,0)*$G11)+$G11),EDATE($E11,MAX(0,ROUNDUP(((YEAR(AC$3)-YEAR($E11))*12+MONTH(AC$3)-MONTH($E11))/$G11,0)*$G11)))&gt;=AC$3,IF(EDATE($E11,MAX(0,ROUNDUP(((YEAR(AC$3)-YEAR($E11))*12+MONTH(AC$3)-MONTH($E11))/$G11,0)*$G11))&lt;AC$3,EDATE($E11,MAX(0,ROUNDUP(((YEAR(AC$3)-YEAR($E11))*12+MONTH(AC$3)-MONTH($E11))/$G11,0)*$G11)+$G11),EDATE($E11,MAX(0,ROUNDUP(((YEAR(AC$3)-YEAR($E11))*12+MONTH(AC$3)-MONTH($E11))/$G11,0)*$G11)))&lt;=IF($F11="",AC$4,MIN(AC$4,$F11))),1,0)))))</f>
        <v>0</v>
      </c>
      <c r="AD11" s="25" t="n">
        <f aca="false">IF(OR($C11="",$C11=0,$E11="",$B11="",$G11=-2),0,$C11*IF($G11=0,IF(IF($F11="",AD$4,MIN(AD$4,$F11))&lt;$E11,0,MAX(0,INT((IF($F11="",AD$4,MIN(AD$4,$F11))-$E11)/7)+1-MAX(0,ROUNDUP((AD$3-$E11)/7,0)))),IF($G11=101,(AND(EOMONTH(AD$3,0)&gt;=MAX(AD$3,$E11),EOMONTH(AD$3,0)&lt;=IF($F11="",AD$4,MIN(AD$4,$F11)))*1+AND(EOMONTH(AD$4,0)&lt;&gt;EOMONTH(AD$3,0),EOMONTH(AD$4,0)&gt;=MAX(AD$3,$E11),EOMONTH(AD$4,0)&lt;=IF($F11="",AD$4,MIN(AD$4,$F11)))*1),IF($G11=102,(AND(WORKDAY(EOMONTH(AD$3,0)+1,-3)&gt;=MAX(AD$3,$E11),WORKDAY(EOMONTH(AD$3,0)+1,-3)&lt;=IF($F11="",AD$4,MIN(AD$4,$F11)))*1+AND(WORKDAY(EOMONTH(AD$4,0)+1,-3)&lt;&gt;WORKDAY(EOMONTH(AD$3,0)+1,-3),WORKDAY(EOMONTH(AD$4,0)+1,-3)&gt;=MAX(AD$3,$E11),WORKDAY(EOMONTH(AD$4,0)+1,-3)&lt;=IF($F11="",AD$4,MIN(AD$4,$F11)))*1),IF(AND(IF(EDATE($E11,MAX(0,ROUNDUP(((YEAR(AD$3)-YEAR($E11))*12+MONTH(AD$3)-MONTH($E11))/$G11,0)*$G11))&lt;AD$3,EDATE($E11,MAX(0,ROUNDUP(((YEAR(AD$3)-YEAR($E11))*12+MONTH(AD$3)-MONTH($E11))/$G11,0)*$G11)+$G11),EDATE($E11,MAX(0,ROUNDUP(((YEAR(AD$3)-YEAR($E11))*12+MONTH(AD$3)-MONTH($E11))/$G11,0)*$G11)))&gt;=AD$3,IF(EDATE($E11,MAX(0,ROUNDUP(((YEAR(AD$3)-YEAR($E11))*12+MONTH(AD$3)-MONTH($E11))/$G11,0)*$G11))&lt;AD$3,EDATE($E11,MAX(0,ROUNDUP(((YEAR(AD$3)-YEAR($E11))*12+MONTH(AD$3)-MONTH($E11))/$G11,0)*$G11)+$G11),EDATE($E11,MAX(0,ROUNDUP(((YEAR(AD$3)-YEAR($E11))*12+MONTH(AD$3)-MONTH($E11))/$G11,0)*$G11)))&lt;=IF($F11="",AD$4,MIN(AD$4,$F11))),1,0)))))</f>
        <v>0</v>
      </c>
      <c r="AE11" s="25" t="n">
        <f aca="false">IF(OR($C11="",$C11=0,$E11="",$B11="",$G11=-2),0,$C11*IF($G11=0,IF(IF($F11="",AE$4,MIN(AE$4,$F11))&lt;$E11,0,MAX(0,INT((IF($F11="",AE$4,MIN(AE$4,$F11))-$E11)/7)+1-MAX(0,ROUNDUP((AE$3-$E11)/7,0)))),IF($G11=101,(AND(EOMONTH(AE$3,0)&gt;=MAX(AE$3,$E11),EOMONTH(AE$3,0)&lt;=IF($F11="",AE$4,MIN(AE$4,$F11)))*1+AND(EOMONTH(AE$4,0)&lt;&gt;EOMONTH(AE$3,0),EOMONTH(AE$4,0)&gt;=MAX(AE$3,$E11),EOMONTH(AE$4,0)&lt;=IF($F11="",AE$4,MIN(AE$4,$F11)))*1),IF($G11=102,(AND(WORKDAY(EOMONTH(AE$3,0)+1,-3)&gt;=MAX(AE$3,$E11),WORKDAY(EOMONTH(AE$3,0)+1,-3)&lt;=IF($F11="",AE$4,MIN(AE$4,$F11)))*1+AND(WORKDAY(EOMONTH(AE$4,0)+1,-3)&lt;&gt;WORKDAY(EOMONTH(AE$3,0)+1,-3),WORKDAY(EOMONTH(AE$4,0)+1,-3)&gt;=MAX(AE$3,$E11),WORKDAY(EOMONTH(AE$4,0)+1,-3)&lt;=IF($F11="",AE$4,MIN(AE$4,$F11)))*1),IF(AND(IF(EDATE($E11,MAX(0,ROUNDUP(((YEAR(AE$3)-YEAR($E11))*12+MONTH(AE$3)-MONTH($E11))/$G11,0)*$G11))&lt;AE$3,EDATE($E11,MAX(0,ROUNDUP(((YEAR(AE$3)-YEAR($E11))*12+MONTH(AE$3)-MONTH($E11))/$G11,0)*$G11)+$G11),EDATE($E11,MAX(0,ROUNDUP(((YEAR(AE$3)-YEAR($E11))*12+MONTH(AE$3)-MONTH($E11))/$G11,0)*$G11)))&gt;=AE$3,IF(EDATE($E11,MAX(0,ROUNDUP(((YEAR(AE$3)-YEAR($E11))*12+MONTH(AE$3)-MONTH($E11))/$G11,0)*$G11))&lt;AE$3,EDATE($E11,MAX(0,ROUNDUP(((YEAR(AE$3)-YEAR($E11))*12+MONTH(AE$3)-MONTH($E11))/$G11,0)*$G11)+$G11),EDATE($E11,MAX(0,ROUNDUP(((YEAR(AE$3)-YEAR($E11))*12+MONTH(AE$3)-MONTH($E11))/$G11,0)*$G11)))&lt;=IF($F11="",AE$4,MIN(AE$4,$F11))),1,0)))))</f>
        <v>0</v>
      </c>
      <c r="AF11" s="25" t="n">
        <f aca="false">IF(OR($C11="",$C11=0,$E11="",$B11="",$G11=-2),0,$C11*IF($G11=0,IF(IF($F11="",AF$4,MIN(AF$4,$F11))&lt;$E11,0,MAX(0,INT((IF($F11="",AF$4,MIN(AF$4,$F11))-$E11)/7)+1-MAX(0,ROUNDUP((AF$3-$E11)/7,0)))),IF($G11=101,(AND(EOMONTH(AF$3,0)&gt;=MAX(AF$3,$E11),EOMONTH(AF$3,0)&lt;=IF($F11="",AF$4,MIN(AF$4,$F11)))*1+AND(EOMONTH(AF$4,0)&lt;&gt;EOMONTH(AF$3,0),EOMONTH(AF$4,0)&gt;=MAX(AF$3,$E11),EOMONTH(AF$4,0)&lt;=IF($F11="",AF$4,MIN(AF$4,$F11)))*1),IF($G11=102,(AND(WORKDAY(EOMONTH(AF$3,0)+1,-3)&gt;=MAX(AF$3,$E11),WORKDAY(EOMONTH(AF$3,0)+1,-3)&lt;=IF($F11="",AF$4,MIN(AF$4,$F11)))*1+AND(WORKDAY(EOMONTH(AF$4,0)+1,-3)&lt;&gt;WORKDAY(EOMONTH(AF$3,0)+1,-3),WORKDAY(EOMONTH(AF$4,0)+1,-3)&gt;=MAX(AF$3,$E11),WORKDAY(EOMONTH(AF$4,0)+1,-3)&lt;=IF($F11="",AF$4,MIN(AF$4,$F11)))*1),IF(AND(IF(EDATE($E11,MAX(0,ROUNDUP(((YEAR(AF$3)-YEAR($E11))*12+MONTH(AF$3)-MONTH($E11))/$G11,0)*$G11))&lt;AF$3,EDATE($E11,MAX(0,ROUNDUP(((YEAR(AF$3)-YEAR($E11))*12+MONTH(AF$3)-MONTH($E11))/$G11,0)*$G11)+$G11),EDATE($E11,MAX(0,ROUNDUP(((YEAR(AF$3)-YEAR($E11))*12+MONTH(AF$3)-MONTH($E11))/$G11,0)*$G11)))&gt;=AF$3,IF(EDATE($E11,MAX(0,ROUNDUP(((YEAR(AF$3)-YEAR($E11))*12+MONTH(AF$3)-MONTH($E11))/$G11,0)*$G11))&lt;AF$3,EDATE($E11,MAX(0,ROUNDUP(((YEAR(AF$3)-YEAR($E11))*12+MONTH(AF$3)-MONTH($E11))/$G11,0)*$G11)+$G11),EDATE($E11,MAX(0,ROUNDUP(((YEAR(AF$3)-YEAR($E11))*12+MONTH(AF$3)-MONTH($E11))/$G11,0)*$G11)))&lt;=IF($F11="",AF$4,MIN(AF$4,$F11))),1,0)))))</f>
        <v>0</v>
      </c>
    </row>
    <row r="12" customFormat="false" ht="15" hidden="false" customHeight="false" outlineLevel="0" collapsed="false">
      <c r="A12" s="5"/>
      <c r="B12" s="5"/>
      <c r="C12" s="8"/>
      <c r="D12" s="5"/>
      <c r="E12" s="7"/>
      <c r="F12" s="7"/>
      <c r="G12" s="24" t="n">
        <f aca="false">IFERROR(INDEX(Listen!$E$2:$E$8,MATCH(D12,Listen!$D$2:$D$8,0)),-2)</f>
        <v>-2</v>
      </c>
      <c r="H12" s="25" t="n">
        <f aca="false">IF(OR($C12="",$C12=0,$E12="",$B12="",$G12=-2),0,$C12*IF($G12=0,IF(IF($F12="",H$4,MIN(H$4,$F12))&lt;$E12,0,MAX(0,INT((IF($F12="",H$4,MIN(H$4,$F12))-$E12)/7)+1-MAX(0,ROUNDUP((H$3-$E12)/7,0)))),IF($G12=101,(AND(EOMONTH(H$3,0)&gt;=MAX(H$3,$E12),EOMONTH(H$3,0)&lt;=IF($F12="",H$4,MIN(H$4,$F12)))*1+AND(EOMONTH(H$4,0)&lt;&gt;EOMONTH(H$3,0),EOMONTH(H$4,0)&gt;=MAX(H$3,$E12),EOMONTH(H$4,0)&lt;=IF($F12="",H$4,MIN(H$4,$F12)))*1),IF($G12=102,(AND(WORKDAY(EOMONTH(H$3,0)+1,-3)&gt;=MAX(H$3,$E12),WORKDAY(EOMONTH(H$3,0)+1,-3)&lt;=IF($F12="",H$4,MIN(H$4,$F12)))*1+AND(WORKDAY(EOMONTH(H$4,0)+1,-3)&lt;&gt;WORKDAY(EOMONTH(H$3,0)+1,-3),WORKDAY(EOMONTH(H$4,0)+1,-3)&gt;=MAX(H$3,$E12),WORKDAY(EOMONTH(H$4,0)+1,-3)&lt;=IF($F12="",H$4,MIN(H$4,$F12)))*1),IF(AND(IF(EDATE($E12,MAX(0,ROUNDUP(((YEAR(H$3)-YEAR($E12))*12+MONTH(H$3)-MONTH($E12))/$G12,0)*$G12))&lt;H$3,EDATE($E12,MAX(0,ROUNDUP(((YEAR(H$3)-YEAR($E12))*12+MONTH(H$3)-MONTH($E12))/$G12,0)*$G12)+$G12),EDATE($E12,MAX(0,ROUNDUP(((YEAR(H$3)-YEAR($E12))*12+MONTH(H$3)-MONTH($E12))/$G12,0)*$G12)))&gt;=H$3,IF(EDATE($E12,MAX(0,ROUNDUP(((YEAR(H$3)-YEAR($E12))*12+MONTH(H$3)-MONTH($E12))/$G12,0)*$G12))&lt;H$3,EDATE($E12,MAX(0,ROUNDUP(((YEAR(H$3)-YEAR($E12))*12+MONTH(H$3)-MONTH($E12))/$G12,0)*$G12)+$G12),EDATE($E12,MAX(0,ROUNDUP(((YEAR(H$3)-YEAR($E12))*12+MONTH(H$3)-MONTH($E12))/$G12,0)*$G12)))&lt;=IF($F12="",H$4,MIN(H$4,$F12))),1,0)))))</f>
        <v>0</v>
      </c>
      <c r="I12" s="25" t="n">
        <f aca="false">IF(OR($C12="",$C12=0,$E12="",$B12="",$G12=-2),0,$C12*IF($G12=0,IF(IF($F12="",I$4,MIN(I$4,$F12))&lt;$E12,0,MAX(0,INT((IF($F12="",I$4,MIN(I$4,$F12))-$E12)/7)+1-MAX(0,ROUNDUP((I$3-$E12)/7,0)))),IF($G12=101,(AND(EOMONTH(I$3,0)&gt;=MAX(I$3,$E12),EOMONTH(I$3,0)&lt;=IF($F12="",I$4,MIN(I$4,$F12)))*1+AND(EOMONTH(I$4,0)&lt;&gt;EOMONTH(I$3,0),EOMONTH(I$4,0)&gt;=MAX(I$3,$E12),EOMONTH(I$4,0)&lt;=IF($F12="",I$4,MIN(I$4,$F12)))*1),IF($G12=102,(AND(WORKDAY(EOMONTH(I$3,0)+1,-3)&gt;=MAX(I$3,$E12),WORKDAY(EOMONTH(I$3,0)+1,-3)&lt;=IF($F12="",I$4,MIN(I$4,$F12)))*1+AND(WORKDAY(EOMONTH(I$4,0)+1,-3)&lt;&gt;WORKDAY(EOMONTH(I$3,0)+1,-3),WORKDAY(EOMONTH(I$4,0)+1,-3)&gt;=MAX(I$3,$E12),WORKDAY(EOMONTH(I$4,0)+1,-3)&lt;=IF($F12="",I$4,MIN(I$4,$F12)))*1),IF(AND(IF(EDATE($E12,MAX(0,ROUNDUP(((YEAR(I$3)-YEAR($E12))*12+MONTH(I$3)-MONTH($E12))/$G12,0)*$G12))&lt;I$3,EDATE($E12,MAX(0,ROUNDUP(((YEAR(I$3)-YEAR($E12))*12+MONTH(I$3)-MONTH($E12))/$G12,0)*$G12)+$G12),EDATE($E12,MAX(0,ROUNDUP(((YEAR(I$3)-YEAR($E12))*12+MONTH(I$3)-MONTH($E12))/$G12,0)*$G12)))&gt;=I$3,IF(EDATE($E12,MAX(0,ROUNDUP(((YEAR(I$3)-YEAR($E12))*12+MONTH(I$3)-MONTH($E12))/$G12,0)*$G12))&lt;I$3,EDATE($E12,MAX(0,ROUNDUP(((YEAR(I$3)-YEAR($E12))*12+MONTH(I$3)-MONTH($E12))/$G12,0)*$G12)+$G12),EDATE($E12,MAX(0,ROUNDUP(((YEAR(I$3)-YEAR($E12))*12+MONTH(I$3)-MONTH($E12))/$G12,0)*$G12)))&lt;=IF($F12="",I$4,MIN(I$4,$F12))),1,0)))))</f>
        <v>0</v>
      </c>
      <c r="J12" s="25" t="n">
        <f aca="false">IF(OR($C12="",$C12=0,$E12="",$B12="",$G12=-2),0,$C12*IF($G12=0,IF(IF($F12="",J$4,MIN(J$4,$F12))&lt;$E12,0,MAX(0,INT((IF($F12="",J$4,MIN(J$4,$F12))-$E12)/7)+1-MAX(0,ROUNDUP((J$3-$E12)/7,0)))),IF($G12=101,(AND(EOMONTH(J$3,0)&gt;=MAX(J$3,$E12),EOMONTH(J$3,0)&lt;=IF($F12="",J$4,MIN(J$4,$F12)))*1+AND(EOMONTH(J$4,0)&lt;&gt;EOMONTH(J$3,0),EOMONTH(J$4,0)&gt;=MAX(J$3,$E12),EOMONTH(J$4,0)&lt;=IF($F12="",J$4,MIN(J$4,$F12)))*1),IF($G12=102,(AND(WORKDAY(EOMONTH(J$3,0)+1,-3)&gt;=MAX(J$3,$E12),WORKDAY(EOMONTH(J$3,0)+1,-3)&lt;=IF($F12="",J$4,MIN(J$4,$F12)))*1+AND(WORKDAY(EOMONTH(J$4,0)+1,-3)&lt;&gt;WORKDAY(EOMONTH(J$3,0)+1,-3),WORKDAY(EOMONTH(J$4,0)+1,-3)&gt;=MAX(J$3,$E12),WORKDAY(EOMONTH(J$4,0)+1,-3)&lt;=IF($F12="",J$4,MIN(J$4,$F12)))*1),IF(AND(IF(EDATE($E12,MAX(0,ROUNDUP(((YEAR(J$3)-YEAR($E12))*12+MONTH(J$3)-MONTH($E12))/$G12,0)*$G12))&lt;J$3,EDATE($E12,MAX(0,ROUNDUP(((YEAR(J$3)-YEAR($E12))*12+MONTH(J$3)-MONTH($E12))/$G12,0)*$G12)+$G12),EDATE($E12,MAX(0,ROUNDUP(((YEAR(J$3)-YEAR($E12))*12+MONTH(J$3)-MONTH($E12))/$G12,0)*$G12)))&gt;=J$3,IF(EDATE($E12,MAX(0,ROUNDUP(((YEAR(J$3)-YEAR($E12))*12+MONTH(J$3)-MONTH($E12))/$G12,0)*$G12))&lt;J$3,EDATE($E12,MAX(0,ROUNDUP(((YEAR(J$3)-YEAR($E12))*12+MONTH(J$3)-MONTH($E12))/$G12,0)*$G12)+$G12),EDATE($E12,MAX(0,ROUNDUP(((YEAR(J$3)-YEAR($E12))*12+MONTH(J$3)-MONTH($E12))/$G12,0)*$G12)))&lt;=IF($F12="",J$4,MIN(J$4,$F12))),1,0)))))</f>
        <v>0</v>
      </c>
      <c r="K12" s="25" t="n">
        <f aca="false">IF(OR($C12="",$C12=0,$E12="",$B12="",$G12=-2),0,$C12*IF($G12=0,IF(IF($F12="",K$4,MIN(K$4,$F12))&lt;$E12,0,MAX(0,INT((IF($F12="",K$4,MIN(K$4,$F12))-$E12)/7)+1-MAX(0,ROUNDUP((K$3-$E12)/7,0)))),IF($G12=101,(AND(EOMONTH(K$3,0)&gt;=MAX(K$3,$E12),EOMONTH(K$3,0)&lt;=IF($F12="",K$4,MIN(K$4,$F12)))*1+AND(EOMONTH(K$4,0)&lt;&gt;EOMONTH(K$3,0),EOMONTH(K$4,0)&gt;=MAX(K$3,$E12),EOMONTH(K$4,0)&lt;=IF($F12="",K$4,MIN(K$4,$F12)))*1),IF($G12=102,(AND(WORKDAY(EOMONTH(K$3,0)+1,-3)&gt;=MAX(K$3,$E12),WORKDAY(EOMONTH(K$3,0)+1,-3)&lt;=IF($F12="",K$4,MIN(K$4,$F12)))*1+AND(WORKDAY(EOMONTH(K$4,0)+1,-3)&lt;&gt;WORKDAY(EOMONTH(K$3,0)+1,-3),WORKDAY(EOMONTH(K$4,0)+1,-3)&gt;=MAX(K$3,$E12),WORKDAY(EOMONTH(K$4,0)+1,-3)&lt;=IF($F12="",K$4,MIN(K$4,$F12)))*1),IF(AND(IF(EDATE($E12,MAX(0,ROUNDUP(((YEAR(K$3)-YEAR($E12))*12+MONTH(K$3)-MONTH($E12))/$G12,0)*$G12))&lt;K$3,EDATE($E12,MAX(0,ROUNDUP(((YEAR(K$3)-YEAR($E12))*12+MONTH(K$3)-MONTH($E12))/$G12,0)*$G12)+$G12),EDATE($E12,MAX(0,ROUNDUP(((YEAR(K$3)-YEAR($E12))*12+MONTH(K$3)-MONTH($E12))/$G12,0)*$G12)))&gt;=K$3,IF(EDATE($E12,MAX(0,ROUNDUP(((YEAR(K$3)-YEAR($E12))*12+MONTH(K$3)-MONTH($E12))/$G12,0)*$G12))&lt;K$3,EDATE($E12,MAX(0,ROUNDUP(((YEAR(K$3)-YEAR($E12))*12+MONTH(K$3)-MONTH($E12))/$G12,0)*$G12)+$G12),EDATE($E12,MAX(0,ROUNDUP(((YEAR(K$3)-YEAR($E12))*12+MONTH(K$3)-MONTH($E12))/$G12,0)*$G12)))&lt;=IF($F12="",K$4,MIN(K$4,$F12))),1,0)))))</f>
        <v>0</v>
      </c>
      <c r="L12" s="25" t="n">
        <f aca="false">IF(OR($C12="",$C12=0,$E12="",$B12="",$G12=-2),0,$C12*IF($G12=0,IF(IF($F12="",L$4,MIN(L$4,$F12))&lt;$E12,0,MAX(0,INT((IF($F12="",L$4,MIN(L$4,$F12))-$E12)/7)+1-MAX(0,ROUNDUP((L$3-$E12)/7,0)))),IF($G12=101,(AND(EOMONTH(L$3,0)&gt;=MAX(L$3,$E12),EOMONTH(L$3,0)&lt;=IF($F12="",L$4,MIN(L$4,$F12)))*1+AND(EOMONTH(L$4,0)&lt;&gt;EOMONTH(L$3,0),EOMONTH(L$4,0)&gt;=MAX(L$3,$E12),EOMONTH(L$4,0)&lt;=IF($F12="",L$4,MIN(L$4,$F12)))*1),IF($G12=102,(AND(WORKDAY(EOMONTH(L$3,0)+1,-3)&gt;=MAX(L$3,$E12),WORKDAY(EOMONTH(L$3,0)+1,-3)&lt;=IF($F12="",L$4,MIN(L$4,$F12)))*1+AND(WORKDAY(EOMONTH(L$4,0)+1,-3)&lt;&gt;WORKDAY(EOMONTH(L$3,0)+1,-3),WORKDAY(EOMONTH(L$4,0)+1,-3)&gt;=MAX(L$3,$E12),WORKDAY(EOMONTH(L$4,0)+1,-3)&lt;=IF($F12="",L$4,MIN(L$4,$F12)))*1),IF(AND(IF(EDATE($E12,MAX(0,ROUNDUP(((YEAR(L$3)-YEAR($E12))*12+MONTH(L$3)-MONTH($E12))/$G12,0)*$G12))&lt;L$3,EDATE($E12,MAX(0,ROUNDUP(((YEAR(L$3)-YEAR($E12))*12+MONTH(L$3)-MONTH($E12))/$G12,0)*$G12)+$G12),EDATE($E12,MAX(0,ROUNDUP(((YEAR(L$3)-YEAR($E12))*12+MONTH(L$3)-MONTH($E12))/$G12,0)*$G12)))&gt;=L$3,IF(EDATE($E12,MAX(0,ROUNDUP(((YEAR(L$3)-YEAR($E12))*12+MONTH(L$3)-MONTH($E12))/$G12,0)*$G12))&lt;L$3,EDATE($E12,MAX(0,ROUNDUP(((YEAR(L$3)-YEAR($E12))*12+MONTH(L$3)-MONTH($E12))/$G12,0)*$G12)+$G12),EDATE($E12,MAX(0,ROUNDUP(((YEAR(L$3)-YEAR($E12))*12+MONTH(L$3)-MONTH($E12))/$G12,0)*$G12)))&lt;=IF($F12="",L$4,MIN(L$4,$F12))),1,0)))))</f>
        <v>0</v>
      </c>
      <c r="M12" s="25" t="n">
        <f aca="false">IF(OR($C12="",$C12=0,$E12="",$B12="",$G12=-2),0,$C12*IF($G12=0,IF(IF($F12="",M$4,MIN(M$4,$F12))&lt;$E12,0,MAX(0,INT((IF($F12="",M$4,MIN(M$4,$F12))-$E12)/7)+1-MAX(0,ROUNDUP((M$3-$E12)/7,0)))),IF($G12=101,(AND(EOMONTH(M$3,0)&gt;=MAX(M$3,$E12),EOMONTH(M$3,0)&lt;=IF($F12="",M$4,MIN(M$4,$F12)))*1+AND(EOMONTH(M$4,0)&lt;&gt;EOMONTH(M$3,0),EOMONTH(M$4,0)&gt;=MAX(M$3,$E12),EOMONTH(M$4,0)&lt;=IF($F12="",M$4,MIN(M$4,$F12)))*1),IF($G12=102,(AND(WORKDAY(EOMONTH(M$3,0)+1,-3)&gt;=MAX(M$3,$E12),WORKDAY(EOMONTH(M$3,0)+1,-3)&lt;=IF($F12="",M$4,MIN(M$4,$F12)))*1+AND(WORKDAY(EOMONTH(M$4,0)+1,-3)&lt;&gt;WORKDAY(EOMONTH(M$3,0)+1,-3),WORKDAY(EOMONTH(M$4,0)+1,-3)&gt;=MAX(M$3,$E12),WORKDAY(EOMONTH(M$4,0)+1,-3)&lt;=IF($F12="",M$4,MIN(M$4,$F12)))*1),IF(AND(IF(EDATE($E12,MAX(0,ROUNDUP(((YEAR(M$3)-YEAR($E12))*12+MONTH(M$3)-MONTH($E12))/$G12,0)*$G12))&lt;M$3,EDATE($E12,MAX(0,ROUNDUP(((YEAR(M$3)-YEAR($E12))*12+MONTH(M$3)-MONTH($E12))/$G12,0)*$G12)+$G12),EDATE($E12,MAX(0,ROUNDUP(((YEAR(M$3)-YEAR($E12))*12+MONTH(M$3)-MONTH($E12))/$G12,0)*$G12)))&gt;=M$3,IF(EDATE($E12,MAX(0,ROUNDUP(((YEAR(M$3)-YEAR($E12))*12+MONTH(M$3)-MONTH($E12))/$G12,0)*$G12))&lt;M$3,EDATE($E12,MAX(0,ROUNDUP(((YEAR(M$3)-YEAR($E12))*12+MONTH(M$3)-MONTH($E12))/$G12,0)*$G12)+$G12),EDATE($E12,MAX(0,ROUNDUP(((YEAR(M$3)-YEAR($E12))*12+MONTH(M$3)-MONTH($E12))/$G12,0)*$G12)))&lt;=IF($F12="",M$4,MIN(M$4,$F12))),1,0)))))</f>
        <v>0</v>
      </c>
      <c r="N12" s="25" t="n">
        <f aca="false">IF(OR($C12="",$C12=0,$E12="",$B12="",$G12=-2),0,$C12*IF($G12=0,IF(IF($F12="",N$4,MIN(N$4,$F12))&lt;$E12,0,MAX(0,INT((IF($F12="",N$4,MIN(N$4,$F12))-$E12)/7)+1-MAX(0,ROUNDUP((N$3-$E12)/7,0)))),IF($G12=101,(AND(EOMONTH(N$3,0)&gt;=MAX(N$3,$E12),EOMONTH(N$3,0)&lt;=IF($F12="",N$4,MIN(N$4,$F12)))*1+AND(EOMONTH(N$4,0)&lt;&gt;EOMONTH(N$3,0),EOMONTH(N$4,0)&gt;=MAX(N$3,$E12),EOMONTH(N$4,0)&lt;=IF($F12="",N$4,MIN(N$4,$F12)))*1),IF($G12=102,(AND(WORKDAY(EOMONTH(N$3,0)+1,-3)&gt;=MAX(N$3,$E12),WORKDAY(EOMONTH(N$3,0)+1,-3)&lt;=IF($F12="",N$4,MIN(N$4,$F12)))*1+AND(WORKDAY(EOMONTH(N$4,0)+1,-3)&lt;&gt;WORKDAY(EOMONTH(N$3,0)+1,-3),WORKDAY(EOMONTH(N$4,0)+1,-3)&gt;=MAX(N$3,$E12),WORKDAY(EOMONTH(N$4,0)+1,-3)&lt;=IF($F12="",N$4,MIN(N$4,$F12)))*1),IF(AND(IF(EDATE($E12,MAX(0,ROUNDUP(((YEAR(N$3)-YEAR($E12))*12+MONTH(N$3)-MONTH($E12))/$G12,0)*$G12))&lt;N$3,EDATE($E12,MAX(0,ROUNDUP(((YEAR(N$3)-YEAR($E12))*12+MONTH(N$3)-MONTH($E12))/$G12,0)*$G12)+$G12),EDATE($E12,MAX(0,ROUNDUP(((YEAR(N$3)-YEAR($E12))*12+MONTH(N$3)-MONTH($E12))/$G12,0)*$G12)))&gt;=N$3,IF(EDATE($E12,MAX(0,ROUNDUP(((YEAR(N$3)-YEAR($E12))*12+MONTH(N$3)-MONTH($E12))/$G12,0)*$G12))&lt;N$3,EDATE($E12,MAX(0,ROUNDUP(((YEAR(N$3)-YEAR($E12))*12+MONTH(N$3)-MONTH($E12))/$G12,0)*$G12)+$G12),EDATE($E12,MAX(0,ROUNDUP(((YEAR(N$3)-YEAR($E12))*12+MONTH(N$3)-MONTH($E12))/$G12,0)*$G12)))&lt;=IF($F12="",N$4,MIN(N$4,$F12))),1,0)))))</f>
        <v>0</v>
      </c>
      <c r="O12" s="25" t="n">
        <f aca="false">IF(OR($C12="",$C12=0,$E12="",$B12="",$G12=-2),0,$C12*IF($G12=0,IF(IF($F12="",O$4,MIN(O$4,$F12))&lt;$E12,0,MAX(0,INT((IF($F12="",O$4,MIN(O$4,$F12))-$E12)/7)+1-MAX(0,ROUNDUP((O$3-$E12)/7,0)))),IF($G12=101,(AND(EOMONTH(O$3,0)&gt;=MAX(O$3,$E12),EOMONTH(O$3,0)&lt;=IF($F12="",O$4,MIN(O$4,$F12)))*1+AND(EOMONTH(O$4,0)&lt;&gt;EOMONTH(O$3,0),EOMONTH(O$4,0)&gt;=MAX(O$3,$E12),EOMONTH(O$4,0)&lt;=IF($F12="",O$4,MIN(O$4,$F12)))*1),IF($G12=102,(AND(WORKDAY(EOMONTH(O$3,0)+1,-3)&gt;=MAX(O$3,$E12),WORKDAY(EOMONTH(O$3,0)+1,-3)&lt;=IF($F12="",O$4,MIN(O$4,$F12)))*1+AND(WORKDAY(EOMONTH(O$4,0)+1,-3)&lt;&gt;WORKDAY(EOMONTH(O$3,0)+1,-3),WORKDAY(EOMONTH(O$4,0)+1,-3)&gt;=MAX(O$3,$E12),WORKDAY(EOMONTH(O$4,0)+1,-3)&lt;=IF($F12="",O$4,MIN(O$4,$F12)))*1),IF(AND(IF(EDATE($E12,MAX(0,ROUNDUP(((YEAR(O$3)-YEAR($E12))*12+MONTH(O$3)-MONTH($E12))/$G12,0)*$G12))&lt;O$3,EDATE($E12,MAX(0,ROUNDUP(((YEAR(O$3)-YEAR($E12))*12+MONTH(O$3)-MONTH($E12))/$G12,0)*$G12)+$G12),EDATE($E12,MAX(0,ROUNDUP(((YEAR(O$3)-YEAR($E12))*12+MONTH(O$3)-MONTH($E12))/$G12,0)*$G12)))&gt;=O$3,IF(EDATE($E12,MAX(0,ROUNDUP(((YEAR(O$3)-YEAR($E12))*12+MONTH(O$3)-MONTH($E12))/$G12,0)*$G12))&lt;O$3,EDATE($E12,MAX(0,ROUNDUP(((YEAR(O$3)-YEAR($E12))*12+MONTH(O$3)-MONTH($E12))/$G12,0)*$G12)+$G12),EDATE($E12,MAX(0,ROUNDUP(((YEAR(O$3)-YEAR($E12))*12+MONTH(O$3)-MONTH($E12))/$G12,0)*$G12)))&lt;=IF($F12="",O$4,MIN(O$4,$F12))),1,0)))))</f>
        <v>0</v>
      </c>
      <c r="P12" s="25" t="n">
        <f aca="false">IF(OR($C12="",$C12=0,$E12="",$B12="",$G12=-2),0,$C12*IF($G12=0,IF(IF($F12="",P$4,MIN(P$4,$F12))&lt;$E12,0,MAX(0,INT((IF($F12="",P$4,MIN(P$4,$F12))-$E12)/7)+1-MAX(0,ROUNDUP((P$3-$E12)/7,0)))),IF($G12=101,(AND(EOMONTH(P$3,0)&gt;=MAX(P$3,$E12),EOMONTH(P$3,0)&lt;=IF($F12="",P$4,MIN(P$4,$F12)))*1+AND(EOMONTH(P$4,0)&lt;&gt;EOMONTH(P$3,0),EOMONTH(P$4,0)&gt;=MAX(P$3,$E12),EOMONTH(P$4,0)&lt;=IF($F12="",P$4,MIN(P$4,$F12)))*1),IF($G12=102,(AND(WORKDAY(EOMONTH(P$3,0)+1,-3)&gt;=MAX(P$3,$E12),WORKDAY(EOMONTH(P$3,0)+1,-3)&lt;=IF($F12="",P$4,MIN(P$4,$F12)))*1+AND(WORKDAY(EOMONTH(P$4,0)+1,-3)&lt;&gt;WORKDAY(EOMONTH(P$3,0)+1,-3),WORKDAY(EOMONTH(P$4,0)+1,-3)&gt;=MAX(P$3,$E12),WORKDAY(EOMONTH(P$4,0)+1,-3)&lt;=IF($F12="",P$4,MIN(P$4,$F12)))*1),IF(AND(IF(EDATE($E12,MAX(0,ROUNDUP(((YEAR(P$3)-YEAR($E12))*12+MONTH(P$3)-MONTH($E12))/$G12,0)*$G12))&lt;P$3,EDATE($E12,MAX(0,ROUNDUP(((YEAR(P$3)-YEAR($E12))*12+MONTH(P$3)-MONTH($E12))/$G12,0)*$G12)+$G12),EDATE($E12,MAX(0,ROUNDUP(((YEAR(P$3)-YEAR($E12))*12+MONTH(P$3)-MONTH($E12))/$G12,0)*$G12)))&gt;=P$3,IF(EDATE($E12,MAX(0,ROUNDUP(((YEAR(P$3)-YEAR($E12))*12+MONTH(P$3)-MONTH($E12))/$G12,0)*$G12))&lt;P$3,EDATE($E12,MAX(0,ROUNDUP(((YEAR(P$3)-YEAR($E12))*12+MONTH(P$3)-MONTH($E12))/$G12,0)*$G12)+$G12),EDATE($E12,MAX(0,ROUNDUP(((YEAR(P$3)-YEAR($E12))*12+MONTH(P$3)-MONTH($E12))/$G12,0)*$G12)))&lt;=IF($F12="",P$4,MIN(P$4,$F12))),1,0)))))</f>
        <v>0</v>
      </c>
      <c r="Q12" s="25" t="n">
        <f aca="false">IF(OR($C12="",$C12=0,$E12="",$B12="",$G12=-2),0,$C12*IF($G12=0,IF(IF($F12="",Q$4,MIN(Q$4,$F12))&lt;$E12,0,MAX(0,INT((IF($F12="",Q$4,MIN(Q$4,$F12))-$E12)/7)+1-MAX(0,ROUNDUP((Q$3-$E12)/7,0)))),IF($G12=101,(AND(EOMONTH(Q$3,0)&gt;=MAX(Q$3,$E12),EOMONTH(Q$3,0)&lt;=IF($F12="",Q$4,MIN(Q$4,$F12)))*1+AND(EOMONTH(Q$4,0)&lt;&gt;EOMONTH(Q$3,0),EOMONTH(Q$4,0)&gt;=MAX(Q$3,$E12),EOMONTH(Q$4,0)&lt;=IF($F12="",Q$4,MIN(Q$4,$F12)))*1),IF($G12=102,(AND(WORKDAY(EOMONTH(Q$3,0)+1,-3)&gt;=MAX(Q$3,$E12),WORKDAY(EOMONTH(Q$3,0)+1,-3)&lt;=IF($F12="",Q$4,MIN(Q$4,$F12)))*1+AND(WORKDAY(EOMONTH(Q$4,0)+1,-3)&lt;&gt;WORKDAY(EOMONTH(Q$3,0)+1,-3),WORKDAY(EOMONTH(Q$4,0)+1,-3)&gt;=MAX(Q$3,$E12),WORKDAY(EOMONTH(Q$4,0)+1,-3)&lt;=IF($F12="",Q$4,MIN(Q$4,$F12)))*1),IF(AND(IF(EDATE($E12,MAX(0,ROUNDUP(((YEAR(Q$3)-YEAR($E12))*12+MONTH(Q$3)-MONTH($E12))/$G12,0)*$G12))&lt;Q$3,EDATE($E12,MAX(0,ROUNDUP(((YEAR(Q$3)-YEAR($E12))*12+MONTH(Q$3)-MONTH($E12))/$G12,0)*$G12)+$G12),EDATE($E12,MAX(0,ROUNDUP(((YEAR(Q$3)-YEAR($E12))*12+MONTH(Q$3)-MONTH($E12))/$G12,0)*$G12)))&gt;=Q$3,IF(EDATE($E12,MAX(0,ROUNDUP(((YEAR(Q$3)-YEAR($E12))*12+MONTH(Q$3)-MONTH($E12))/$G12,0)*$G12))&lt;Q$3,EDATE($E12,MAX(0,ROUNDUP(((YEAR(Q$3)-YEAR($E12))*12+MONTH(Q$3)-MONTH($E12))/$G12,0)*$G12)+$G12),EDATE($E12,MAX(0,ROUNDUP(((YEAR(Q$3)-YEAR($E12))*12+MONTH(Q$3)-MONTH($E12))/$G12,0)*$G12)))&lt;=IF($F12="",Q$4,MIN(Q$4,$F12))),1,0)))))</f>
        <v>0</v>
      </c>
      <c r="R12" s="25" t="n">
        <f aca="false">IF(OR($C12="",$C12=0,$E12="",$B12="",$G12=-2),0,$C12*IF($G12=0,IF(IF($F12="",R$4,MIN(R$4,$F12))&lt;$E12,0,MAX(0,INT((IF($F12="",R$4,MIN(R$4,$F12))-$E12)/7)+1-MAX(0,ROUNDUP((R$3-$E12)/7,0)))),IF($G12=101,(AND(EOMONTH(R$3,0)&gt;=MAX(R$3,$E12),EOMONTH(R$3,0)&lt;=IF($F12="",R$4,MIN(R$4,$F12)))*1+AND(EOMONTH(R$4,0)&lt;&gt;EOMONTH(R$3,0),EOMONTH(R$4,0)&gt;=MAX(R$3,$E12),EOMONTH(R$4,0)&lt;=IF($F12="",R$4,MIN(R$4,$F12)))*1),IF($G12=102,(AND(WORKDAY(EOMONTH(R$3,0)+1,-3)&gt;=MAX(R$3,$E12),WORKDAY(EOMONTH(R$3,0)+1,-3)&lt;=IF($F12="",R$4,MIN(R$4,$F12)))*1+AND(WORKDAY(EOMONTH(R$4,0)+1,-3)&lt;&gt;WORKDAY(EOMONTH(R$3,0)+1,-3),WORKDAY(EOMONTH(R$4,0)+1,-3)&gt;=MAX(R$3,$E12),WORKDAY(EOMONTH(R$4,0)+1,-3)&lt;=IF($F12="",R$4,MIN(R$4,$F12)))*1),IF(AND(IF(EDATE($E12,MAX(0,ROUNDUP(((YEAR(R$3)-YEAR($E12))*12+MONTH(R$3)-MONTH($E12))/$G12,0)*$G12))&lt;R$3,EDATE($E12,MAX(0,ROUNDUP(((YEAR(R$3)-YEAR($E12))*12+MONTH(R$3)-MONTH($E12))/$G12,0)*$G12)+$G12),EDATE($E12,MAX(0,ROUNDUP(((YEAR(R$3)-YEAR($E12))*12+MONTH(R$3)-MONTH($E12))/$G12,0)*$G12)))&gt;=R$3,IF(EDATE($E12,MAX(0,ROUNDUP(((YEAR(R$3)-YEAR($E12))*12+MONTH(R$3)-MONTH($E12))/$G12,0)*$G12))&lt;R$3,EDATE($E12,MAX(0,ROUNDUP(((YEAR(R$3)-YEAR($E12))*12+MONTH(R$3)-MONTH($E12))/$G12,0)*$G12)+$G12),EDATE($E12,MAX(0,ROUNDUP(((YEAR(R$3)-YEAR($E12))*12+MONTH(R$3)-MONTH($E12))/$G12,0)*$G12)))&lt;=IF($F12="",R$4,MIN(R$4,$F12))),1,0)))))</f>
        <v>0</v>
      </c>
      <c r="S12" s="25" t="n">
        <f aca="false">IF(OR($C12="",$C12=0,$E12="",$B12="",$G12=-2),0,$C12*IF($G12=0,IF(IF($F12="",S$4,MIN(S$4,$F12))&lt;$E12,0,MAX(0,INT((IF($F12="",S$4,MIN(S$4,$F12))-$E12)/7)+1-MAX(0,ROUNDUP((S$3-$E12)/7,0)))),IF($G12=101,(AND(EOMONTH(S$3,0)&gt;=MAX(S$3,$E12),EOMONTH(S$3,0)&lt;=IF($F12="",S$4,MIN(S$4,$F12)))*1+AND(EOMONTH(S$4,0)&lt;&gt;EOMONTH(S$3,0),EOMONTH(S$4,0)&gt;=MAX(S$3,$E12),EOMONTH(S$4,0)&lt;=IF($F12="",S$4,MIN(S$4,$F12)))*1),IF($G12=102,(AND(WORKDAY(EOMONTH(S$3,0)+1,-3)&gt;=MAX(S$3,$E12),WORKDAY(EOMONTH(S$3,0)+1,-3)&lt;=IF($F12="",S$4,MIN(S$4,$F12)))*1+AND(WORKDAY(EOMONTH(S$4,0)+1,-3)&lt;&gt;WORKDAY(EOMONTH(S$3,0)+1,-3),WORKDAY(EOMONTH(S$4,0)+1,-3)&gt;=MAX(S$3,$E12),WORKDAY(EOMONTH(S$4,0)+1,-3)&lt;=IF($F12="",S$4,MIN(S$4,$F12)))*1),IF(AND(IF(EDATE($E12,MAX(0,ROUNDUP(((YEAR(S$3)-YEAR($E12))*12+MONTH(S$3)-MONTH($E12))/$G12,0)*$G12))&lt;S$3,EDATE($E12,MAX(0,ROUNDUP(((YEAR(S$3)-YEAR($E12))*12+MONTH(S$3)-MONTH($E12))/$G12,0)*$G12)+$G12),EDATE($E12,MAX(0,ROUNDUP(((YEAR(S$3)-YEAR($E12))*12+MONTH(S$3)-MONTH($E12))/$G12,0)*$G12)))&gt;=S$3,IF(EDATE($E12,MAX(0,ROUNDUP(((YEAR(S$3)-YEAR($E12))*12+MONTH(S$3)-MONTH($E12))/$G12,0)*$G12))&lt;S$3,EDATE($E12,MAX(0,ROUNDUP(((YEAR(S$3)-YEAR($E12))*12+MONTH(S$3)-MONTH($E12))/$G12,0)*$G12)+$G12),EDATE($E12,MAX(0,ROUNDUP(((YEAR(S$3)-YEAR($E12))*12+MONTH(S$3)-MONTH($E12))/$G12,0)*$G12)))&lt;=IF($F12="",S$4,MIN(S$4,$F12))),1,0)))))</f>
        <v>0</v>
      </c>
      <c r="T12" s="25" t="n">
        <f aca="false">IF(OR($C12="",$C12=0,$E12="",$B12="",$G12=-2),0,$C12*IF($G12=0,IF(IF($F12="",T$4,MIN(T$4,$F12))&lt;$E12,0,MAX(0,INT((IF($F12="",T$4,MIN(T$4,$F12))-$E12)/7)+1-MAX(0,ROUNDUP((T$3-$E12)/7,0)))),IF($G12=101,(AND(EOMONTH(T$3,0)&gt;=MAX(T$3,$E12),EOMONTH(T$3,0)&lt;=IF($F12="",T$4,MIN(T$4,$F12)))*1+AND(EOMONTH(T$4,0)&lt;&gt;EOMONTH(T$3,0),EOMONTH(T$4,0)&gt;=MAX(T$3,$E12),EOMONTH(T$4,0)&lt;=IF($F12="",T$4,MIN(T$4,$F12)))*1),IF($G12=102,(AND(WORKDAY(EOMONTH(T$3,0)+1,-3)&gt;=MAX(T$3,$E12),WORKDAY(EOMONTH(T$3,0)+1,-3)&lt;=IF($F12="",T$4,MIN(T$4,$F12)))*1+AND(WORKDAY(EOMONTH(T$4,0)+1,-3)&lt;&gt;WORKDAY(EOMONTH(T$3,0)+1,-3),WORKDAY(EOMONTH(T$4,0)+1,-3)&gt;=MAX(T$3,$E12),WORKDAY(EOMONTH(T$4,0)+1,-3)&lt;=IF($F12="",T$4,MIN(T$4,$F12)))*1),IF(AND(IF(EDATE($E12,MAX(0,ROUNDUP(((YEAR(T$3)-YEAR($E12))*12+MONTH(T$3)-MONTH($E12))/$G12,0)*$G12))&lt;T$3,EDATE($E12,MAX(0,ROUNDUP(((YEAR(T$3)-YEAR($E12))*12+MONTH(T$3)-MONTH($E12))/$G12,0)*$G12)+$G12),EDATE($E12,MAX(0,ROUNDUP(((YEAR(T$3)-YEAR($E12))*12+MONTH(T$3)-MONTH($E12))/$G12,0)*$G12)))&gt;=T$3,IF(EDATE($E12,MAX(0,ROUNDUP(((YEAR(T$3)-YEAR($E12))*12+MONTH(T$3)-MONTH($E12))/$G12,0)*$G12))&lt;T$3,EDATE($E12,MAX(0,ROUNDUP(((YEAR(T$3)-YEAR($E12))*12+MONTH(T$3)-MONTH($E12))/$G12,0)*$G12)+$G12),EDATE($E12,MAX(0,ROUNDUP(((YEAR(T$3)-YEAR($E12))*12+MONTH(T$3)-MONTH($E12))/$G12,0)*$G12)))&lt;=IF($F12="",T$4,MIN(T$4,$F12))),1,0)))))</f>
        <v>0</v>
      </c>
      <c r="U12" s="25" t="n">
        <f aca="false">IF(OR($C12="",$C12=0,$E12="",$B12="",$G12=-2),0,$C12*IF($G12=0,IF(IF($F12="",U$4,MIN(U$4,$F12))&lt;$E12,0,MAX(0,INT((IF($F12="",U$4,MIN(U$4,$F12))-$E12)/7)+1-MAX(0,ROUNDUP((U$3-$E12)/7,0)))),IF($G12=101,(AND(EOMONTH(U$3,0)&gt;=MAX(U$3,$E12),EOMONTH(U$3,0)&lt;=IF($F12="",U$4,MIN(U$4,$F12)))*1+AND(EOMONTH(U$4,0)&lt;&gt;EOMONTH(U$3,0),EOMONTH(U$4,0)&gt;=MAX(U$3,$E12),EOMONTH(U$4,0)&lt;=IF($F12="",U$4,MIN(U$4,$F12)))*1),IF($G12=102,(AND(WORKDAY(EOMONTH(U$3,0)+1,-3)&gt;=MAX(U$3,$E12),WORKDAY(EOMONTH(U$3,0)+1,-3)&lt;=IF($F12="",U$4,MIN(U$4,$F12)))*1+AND(WORKDAY(EOMONTH(U$4,0)+1,-3)&lt;&gt;WORKDAY(EOMONTH(U$3,0)+1,-3),WORKDAY(EOMONTH(U$4,0)+1,-3)&gt;=MAX(U$3,$E12),WORKDAY(EOMONTH(U$4,0)+1,-3)&lt;=IF($F12="",U$4,MIN(U$4,$F12)))*1),IF(AND(IF(EDATE($E12,MAX(0,ROUNDUP(((YEAR(U$3)-YEAR($E12))*12+MONTH(U$3)-MONTH($E12))/$G12,0)*$G12))&lt;U$3,EDATE($E12,MAX(0,ROUNDUP(((YEAR(U$3)-YEAR($E12))*12+MONTH(U$3)-MONTH($E12))/$G12,0)*$G12)+$G12),EDATE($E12,MAX(0,ROUNDUP(((YEAR(U$3)-YEAR($E12))*12+MONTH(U$3)-MONTH($E12))/$G12,0)*$G12)))&gt;=U$3,IF(EDATE($E12,MAX(0,ROUNDUP(((YEAR(U$3)-YEAR($E12))*12+MONTH(U$3)-MONTH($E12))/$G12,0)*$G12))&lt;U$3,EDATE($E12,MAX(0,ROUNDUP(((YEAR(U$3)-YEAR($E12))*12+MONTH(U$3)-MONTH($E12))/$G12,0)*$G12)+$G12),EDATE($E12,MAX(0,ROUNDUP(((YEAR(U$3)-YEAR($E12))*12+MONTH(U$3)-MONTH($E12))/$G12,0)*$G12)))&lt;=IF($F12="",U$4,MIN(U$4,$F12))),1,0)))))</f>
        <v>0</v>
      </c>
      <c r="V12" s="25" t="n">
        <f aca="false">IF(OR($C12="",$C12=0,$E12="",$B12="",$G12=-2),0,$C12*IF($G12=0,IF(IF($F12="",V$4,MIN(V$4,$F12))&lt;$E12,0,MAX(0,INT((IF($F12="",V$4,MIN(V$4,$F12))-$E12)/7)+1-MAX(0,ROUNDUP((V$3-$E12)/7,0)))),IF($G12=101,(AND(EOMONTH(V$3,0)&gt;=MAX(V$3,$E12),EOMONTH(V$3,0)&lt;=IF($F12="",V$4,MIN(V$4,$F12)))*1+AND(EOMONTH(V$4,0)&lt;&gt;EOMONTH(V$3,0),EOMONTH(V$4,0)&gt;=MAX(V$3,$E12),EOMONTH(V$4,0)&lt;=IF($F12="",V$4,MIN(V$4,$F12)))*1),IF($G12=102,(AND(WORKDAY(EOMONTH(V$3,0)+1,-3)&gt;=MAX(V$3,$E12),WORKDAY(EOMONTH(V$3,0)+1,-3)&lt;=IF($F12="",V$4,MIN(V$4,$F12)))*1+AND(WORKDAY(EOMONTH(V$4,0)+1,-3)&lt;&gt;WORKDAY(EOMONTH(V$3,0)+1,-3),WORKDAY(EOMONTH(V$4,0)+1,-3)&gt;=MAX(V$3,$E12),WORKDAY(EOMONTH(V$4,0)+1,-3)&lt;=IF($F12="",V$4,MIN(V$4,$F12)))*1),IF(AND(IF(EDATE($E12,MAX(0,ROUNDUP(((YEAR(V$3)-YEAR($E12))*12+MONTH(V$3)-MONTH($E12))/$G12,0)*$G12))&lt;V$3,EDATE($E12,MAX(0,ROUNDUP(((YEAR(V$3)-YEAR($E12))*12+MONTH(V$3)-MONTH($E12))/$G12,0)*$G12)+$G12),EDATE($E12,MAX(0,ROUNDUP(((YEAR(V$3)-YEAR($E12))*12+MONTH(V$3)-MONTH($E12))/$G12,0)*$G12)))&gt;=V$3,IF(EDATE($E12,MAX(0,ROUNDUP(((YEAR(V$3)-YEAR($E12))*12+MONTH(V$3)-MONTH($E12))/$G12,0)*$G12))&lt;V$3,EDATE($E12,MAX(0,ROUNDUP(((YEAR(V$3)-YEAR($E12))*12+MONTH(V$3)-MONTH($E12))/$G12,0)*$G12)+$G12),EDATE($E12,MAX(0,ROUNDUP(((YEAR(V$3)-YEAR($E12))*12+MONTH(V$3)-MONTH($E12))/$G12,0)*$G12)))&lt;=IF($F12="",V$4,MIN(V$4,$F12))),1,0)))))</f>
        <v>0</v>
      </c>
      <c r="W12" s="25" t="n">
        <f aca="false">IF(OR($C12="",$C12=0,$E12="",$B12="",$G12=-2),0,$C12*IF($G12=0,IF(IF($F12="",W$4,MIN(W$4,$F12))&lt;$E12,0,MAX(0,INT((IF($F12="",W$4,MIN(W$4,$F12))-$E12)/7)+1-MAX(0,ROUNDUP((W$3-$E12)/7,0)))),IF($G12=101,(AND(EOMONTH(W$3,0)&gt;=MAX(W$3,$E12),EOMONTH(W$3,0)&lt;=IF($F12="",W$4,MIN(W$4,$F12)))*1+AND(EOMONTH(W$4,0)&lt;&gt;EOMONTH(W$3,0),EOMONTH(W$4,0)&gt;=MAX(W$3,$E12),EOMONTH(W$4,0)&lt;=IF($F12="",W$4,MIN(W$4,$F12)))*1),IF($G12=102,(AND(WORKDAY(EOMONTH(W$3,0)+1,-3)&gt;=MAX(W$3,$E12),WORKDAY(EOMONTH(W$3,0)+1,-3)&lt;=IF($F12="",W$4,MIN(W$4,$F12)))*1+AND(WORKDAY(EOMONTH(W$4,0)+1,-3)&lt;&gt;WORKDAY(EOMONTH(W$3,0)+1,-3),WORKDAY(EOMONTH(W$4,0)+1,-3)&gt;=MAX(W$3,$E12),WORKDAY(EOMONTH(W$4,0)+1,-3)&lt;=IF($F12="",W$4,MIN(W$4,$F12)))*1),IF(AND(IF(EDATE($E12,MAX(0,ROUNDUP(((YEAR(W$3)-YEAR($E12))*12+MONTH(W$3)-MONTH($E12))/$G12,0)*$G12))&lt;W$3,EDATE($E12,MAX(0,ROUNDUP(((YEAR(W$3)-YEAR($E12))*12+MONTH(W$3)-MONTH($E12))/$G12,0)*$G12)+$G12),EDATE($E12,MAX(0,ROUNDUP(((YEAR(W$3)-YEAR($E12))*12+MONTH(W$3)-MONTH($E12))/$G12,0)*$G12)))&gt;=W$3,IF(EDATE($E12,MAX(0,ROUNDUP(((YEAR(W$3)-YEAR($E12))*12+MONTH(W$3)-MONTH($E12))/$G12,0)*$G12))&lt;W$3,EDATE($E12,MAX(0,ROUNDUP(((YEAR(W$3)-YEAR($E12))*12+MONTH(W$3)-MONTH($E12))/$G12,0)*$G12)+$G12),EDATE($E12,MAX(0,ROUNDUP(((YEAR(W$3)-YEAR($E12))*12+MONTH(W$3)-MONTH($E12))/$G12,0)*$G12)))&lt;=IF($F12="",W$4,MIN(W$4,$F12))),1,0)))))</f>
        <v>0</v>
      </c>
      <c r="X12" s="25" t="n">
        <f aca="false">IF(OR($C12="",$C12=0,$E12="",$B12="",$G12=-2),0,$C12*IF($G12=0,IF(IF($F12="",X$4,MIN(X$4,$F12))&lt;$E12,0,MAX(0,INT((IF($F12="",X$4,MIN(X$4,$F12))-$E12)/7)+1-MAX(0,ROUNDUP((X$3-$E12)/7,0)))),IF($G12=101,(AND(EOMONTH(X$3,0)&gt;=MAX(X$3,$E12),EOMONTH(X$3,0)&lt;=IF($F12="",X$4,MIN(X$4,$F12)))*1+AND(EOMONTH(X$4,0)&lt;&gt;EOMONTH(X$3,0),EOMONTH(X$4,0)&gt;=MAX(X$3,$E12),EOMONTH(X$4,0)&lt;=IF($F12="",X$4,MIN(X$4,$F12)))*1),IF($G12=102,(AND(WORKDAY(EOMONTH(X$3,0)+1,-3)&gt;=MAX(X$3,$E12),WORKDAY(EOMONTH(X$3,0)+1,-3)&lt;=IF($F12="",X$4,MIN(X$4,$F12)))*1+AND(WORKDAY(EOMONTH(X$4,0)+1,-3)&lt;&gt;WORKDAY(EOMONTH(X$3,0)+1,-3),WORKDAY(EOMONTH(X$4,0)+1,-3)&gt;=MAX(X$3,$E12),WORKDAY(EOMONTH(X$4,0)+1,-3)&lt;=IF($F12="",X$4,MIN(X$4,$F12)))*1),IF(AND(IF(EDATE($E12,MAX(0,ROUNDUP(((YEAR(X$3)-YEAR($E12))*12+MONTH(X$3)-MONTH($E12))/$G12,0)*$G12))&lt;X$3,EDATE($E12,MAX(0,ROUNDUP(((YEAR(X$3)-YEAR($E12))*12+MONTH(X$3)-MONTH($E12))/$G12,0)*$G12)+$G12),EDATE($E12,MAX(0,ROUNDUP(((YEAR(X$3)-YEAR($E12))*12+MONTH(X$3)-MONTH($E12))/$G12,0)*$G12)))&gt;=X$3,IF(EDATE($E12,MAX(0,ROUNDUP(((YEAR(X$3)-YEAR($E12))*12+MONTH(X$3)-MONTH($E12))/$G12,0)*$G12))&lt;X$3,EDATE($E12,MAX(0,ROUNDUP(((YEAR(X$3)-YEAR($E12))*12+MONTH(X$3)-MONTH($E12))/$G12,0)*$G12)+$G12),EDATE($E12,MAX(0,ROUNDUP(((YEAR(X$3)-YEAR($E12))*12+MONTH(X$3)-MONTH($E12))/$G12,0)*$G12)))&lt;=IF($F12="",X$4,MIN(X$4,$F12))),1,0)))))</f>
        <v>0</v>
      </c>
      <c r="Y12" s="25" t="n">
        <f aca="false">IF(OR($C12="",$C12=0,$E12="",$B12="",$G12=-2),0,$C12*IF($G12=0,IF(IF($F12="",Y$4,MIN(Y$4,$F12))&lt;$E12,0,MAX(0,INT((IF($F12="",Y$4,MIN(Y$4,$F12))-$E12)/7)+1-MAX(0,ROUNDUP((Y$3-$E12)/7,0)))),IF($G12=101,(AND(EOMONTH(Y$3,0)&gt;=MAX(Y$3,$E12),EOMONTH(Y$3,0)&lt;=IF($F12="",Y$4,MIN(Y$4,$F12)))*1+AND(EOMONTH(Y$4,0)&lt;&gt;EOMONTH(Y$3,0),EOMONTH(Y$4,0)&gt;=MAX(Y$3,$E12),EOMONTH(Y$4,0)&lt;=IF($F12="",Y$4,MIN(Y$4,$F12)))*1),IF($G12=102,(AND(WORKDAY(EOMONTH(Y$3,0)+1,-3)&gt;=MAX(Y$3,$E12),WORKDAY(EOMONTH(Y$3,0)+1,-3)&lt;=IF($F12="",Y$4,MIN(Y$4,$F12)))*1+AND(WORKDAY(EOMONTH(Y$4,0)+1,-3)&lt;&gt;WORKDAY(EOMONTH(Y$3,0)+1,-3),WORKDAY(EOMONTH(Y$4,0)+1,-3)&gt;=MAX(Y$3,$E12),WORKDAY(EOMONTH(Y$4,0)+1,-3)&lt;=IF($F12="",Y$4,MIN(Y$4,$F12)))*1),IF(AND(IF(EDATE($E12,MAX(0,ROUNDUP(((YEAR(Y$3)-YEAR($E12))*12+MONTH(Y$3)-MONTH($E12))/$G12,0)*$G12))&lt;Y$3,EDATE($E12,MAX(0,ROUNDUP(((YEAR(Y$3)-YEAR($E12))*12+MONTH(Y$3)-MONTH($E12))/$G12,0)*$G12)+$G12),EDATE($E12,MAX(0,ROUNDUP(((YEAR(Y$3)-YEAR($E12))*12+MONTH(Y$3)-MONTH($E12))/$G12,0)*$G12)))&gt;=Y$3,IF(EDATE($E12,MAX(0,ROUNDUP(((YEAR(Y$3)-YEAR($E12))*12+MONTH(Y$3)-MONTH($E12))/$G12,0)*$G12))&lt;Y$3,EDATE($E12,MAX(0,ROUNDUP(((YEAR(Y$3)-YEAR($E12))*12+MONTH(Y$3)-MONTH($E12))/$G12,0)*$G12)+$G12),EDATE($E12,MAX(0,ROUNDUP(((YEAR(Y$3)-YEAR($E12))*12+MONTH(Y$3)-MONTH($E12))/$G12,0)*$G12)))&lt;=IF($F12="",Y$4,MIN(Y$4,$F12))),1,0)))))</f>
        <v>0</v>
      </c>
      <c r="Z12" s="25" t="n">
        <f aca="false">IF(OR($C12="",$C12=0,$E12="",$B12="",$G12=-2),0,$C12*IF($G12=0,IF(IF($F12="",Z$4,MIN(Z$4,$F12))&lt;$E12,0,MAX(0,INT((IF($F12="",Z$4,MIN(Z$4,$F12))-$E12)/7)+1-MAX(0,ROUNDUP((Z$3-$E12)/7,0)))),IF($G12=101,(AND(EOMONTH(Z$3,0)&gt;=MAX(Z$3,$E12),EOMONTH(Z$3,0)&lt;=IF($F12="",Z$4,MIN(Z$4,$F12)))*1+AND(EOMONTH(Z$4,0)&lt;&gt;EOMONTH(Z$3,0),EOMONTH(Z$4,0)&gt;=MAX(Z$3,$E12),EOMONTH(Z$4,0)&lt;=IF($F12="",Z$4,MIN(Z$4,$F12)))*1),IF($G12=102,(AND(WORKDAY(EOMONTH(Z$3,0)+1,-3)&gt;=MAX(Z$3,$E12),WORKDAY(EOMONTH(Z$3,0)+1,-3)&lt;=IF($F12="",Z$4,MIN(Z$4,$F12)))*1+AND(WORKDAY(EOMONTH(Z$4,0)+1,-3)&lt;&gt;WORKDAY(EOMONTH(Z$3,0)+1,-3),WORKDAY(EOMONTH(Z$4,0)+1,-3)&gt;=MAX(Z$3,$E12),WORKDAY(EOMONTH(Z$4,0)+1,-3)&lt;=IF($F12="",Z$4,MIN(Z$4,$F12)))*1),IF(AND(IF(EDATE($E12,MAX(0,ROUNDUP(((YEAR(Z$3)-YEAR($E12))*12+MONTH(Z$3)-MONTH($E12))/$G12,0)*$G12))&lt;Z$3,EDATE($E12,MAX(0,ROUNDUP(((YEAR(Z$3)-YEAR($E12))*12+MONTH(Z$3)-MONTH($E12))/$G12,0)*$G12)+$G12),EDATE($E12,MAX(0,ROUNDUP(((YEAR(Z$3)-YEAR($E12))*12+MONTH(Z$3)-MONTH($E12))/$G12,0)*$G12)))&gt;=Z$3,IF(EDATE($E12,MAX(0,ROUNDUP(((YEAR(Z$3)-YEAR($E12))*12+MONTH(Z$3)-MONTH($E12))/$G12,0)*$G12))&lt;Z$3,EDATE($E12,MAX(0,ROUNDUP(((YEAR(Z$3)-YEAR($E12))*12+MONTH(Z$3)-MONTH($E12))/$G12,0)*$G12)+$G12),EDATE($E12,MAX(0,ROUNDUP(((YEAR(Z$3)-YEAR($E12))*12+MONTH(Z$3)-MONTH($E12))/$G12,0)*$G12)))&lt;=IF($F12="",Z$4,MIN(Z$4,$F12))),1,0)))))</f>
        <v>0</v>
      </c>
      <c r="AA12" s="25" t="n">
        <f aca="false">IF(OR($C12="",$C12=0,$E12="",$B12="",$G12=-2),0,$C12*IF($G12=0,IF(IF($F12="",AA$4,MIN(AA$4,$F12))&lt;$E12,0,MAX(0,INT((IF($F12="",AA$4,MIN(AA$4,$F12))-$E12)/7)+1-MAX(0,ROUNDUP((AA$3-$E12)/7,0)))),IF($G12=101,(AND(EOMONTH(AA$3,0)&gt;=MAX(AA$3,$E12),EOMONTH(AA$3,0)&lt;=IF($F12="",AA$4,MIN(AA$4,$F12)))*1+AND(EOMONTH(AA$4,0)&lt;&gt;EOMONTH(AA$3,0),EOMONTH(AA$4,0)&gt;=MAX(AA$3,$E12),EOMONTH(AA$4,0)&lt;=IF($F12="",AA$4,MIN(AA$4,$F12)))*1),IF($G12=102,(AND(WORKDAY(EOMONTH(AA$3,0)+1,-3)&gt;=MAX(AA$3,$E12),WORKDAY(EOMONTH(AA$3,0)+1,-3)&lt;=IF($F12="",AA$4,MIN(AA$4,$F12)))*1+AND(WORKDAY(EOMONTH(AA$4,0)+1,-3)&lt;&gt;WORKDAY(EOMONTH(AA$3,0)+1,-3),WORKDAY(EOMONTH(AA$4,0)+1,-3)&gt;=MAX(AA$3,$E12),WORKDAY(EOMONTH(AA$4,0)+1,-3)&lt;=IF($F12="",AA$4,MIN(AA$4,$F12)))*1),IF(AND(IF(EDATE($E12,MAX(0,ROUNDUP(((YEAR(AA$3)-YEAR($E12))*12+MONTH(AA$3)-MONTH($E12))/$G12,0)*$G12))&lt;AA$3,EDATE($E12,MAX(0,ROUNDUP(((YEAR(AA$3)-YEAR($E12))*12+MONTH(AA$3)-MONTH($E12))/$G12,0)*$G12)+$G12),EDATE($E12,MAX(0,ROUNDUP(((YEAR(AA$3)-YEAR($E12))*12+MONTH(AA$3)-MONTH($E12))/$G12,0)*$G12)))&gt;=AA$3,IF(EDATE($E12,MAX(0,ROUNDUP(((YEAR(AA$3)-YEAR($E12))*12+MONTH(AA$3)-MONTH($E12))/$G12,0)*$G12))&lt;AA$3,EDATE($E12,MAX(0,ROUNDUP(((YEAR(AA$3)-YEAR($E12))*12+MONTH(AA$3)-MONTH($E12))/$G12,0)*$G12)+$G12),EDATE($E12,MAX(0,ROUNDUP(((YEAR(AA$3)-YEAR($E12))*12+MONTH(AA$3)-MONTH($E12))/$G12,0)*$G12)))&lt;=IF($F12="",AA$4,MIN(AA$4,$F12))),1,0)))))</f>
        <v>0</v>
      </c>
      <c r="AB12" s="25" t="n">
        <f aca="false">IF(OR($C12="",$C12=0,$E12="",$B12="",$G12=-2),0,$C12*IF($G12=0,IF(IF($F12="",AB$4,MIN(AB$4,$F12))&lt;$E12,0,MAX(0,INT((IF($F12="",AB$4,MIN(AB$4,$F12))-$E12)/7)+1-MAX(0,ROUNDUP((AB$3-$E12)/7,0)))),IF($G12=101,(AND(EOMONTH(AB$3,0)&gt;=MAX(AB$3,$E12),EOMONTH(AB$3,0)&lt;=IF($F12="",AB$4,MIN(AB$4,$F12)))*1+AND(EOMONTH(AB$4,0)&lt;&gt;EOMONTH(AB$3,0),EOMONTH(AB$4,0)&gt;=MAX(AB$3,$E12),EOMONTH(AB$4,0)&lt;=IF($F12="",AB$4,MIN(AB$4,$F12)))*1),IF($G12=102,(AND(WORKDAY(EOMONTH(AB$3,0)+1,-3)&gt;=MAX(AB$3,$E12),WORKDAY(EOMONTH(AB$3,0)+1,-3)&lt;=IF($F12="",AB$4,MIN(AB$4,$F12)))*1+AND(WORKDAY(EOMONTH(AB$4,0)+1,-3)&lt;&gt;WORKDAY(EOMONTH(AB$3,0)+1,-3),WORKDAY(EOMONTH(AB$4,0)+1,-3)&gt;=MAX(AB$3,$E12),WORKDAY(EOMONTH(AB$4,0)+1,-3)&lt;=IF($F12="",AB$4,MIN(AB$4,$F12)))*1),IF(AND(IF(EDATE($E12,MAX(0,ROUNDUP(((YEAR(AB$3)-YEAR($E12))*12+MONTH(AB$3)-MONTH($E12))/$G12,0)*$G12))&lt;AB$3,EDATE($E12,MAX(0,ROUNDUP(((YEAR(AB$3)-YEAR($E12))*12+MONTH(AB$3)-MONTH($E12))/$G12,0)*$G12)+$G12),EDATE($E12,MAX(0,ROUNDUP(((YEAR(AB$3)-YEAR($E12))*12+MONTH(AB$3)-MONTH($E12))/$G12,0)*$G12)))&gt;=AB$3,IF(EDATE($E12,MAX(0,ROUNDUP(((YEAR(AB$3)-YEAR($E12))*12+MONTH(AB$3)-MONTH($E12))/$G12,0)*$G12))&lt;AB$3,EDATE($E12,MAX(0,ROUNDUP(((YEAR(AB$3)-YEAR($E12))*12+MONTH(AB$3)-MONTH($E12))/$G12,0)*$G12)+$G12),EDATE($E12,MAX(0,ROUNDUP(((YEAR(AB$3)-YEAR($E12))*12+MONTH(AB$3)-MONTH($E12))/$G12,0)*$G12)))&lt;=IF($F12="",AB$4,MIN(AB$4,$F12))),1,0)))))</f>
        <v>0</v>
      </c>
      <c r="AC12" s="25" t="n">
        <f aca="false">IF(OR($C12="",$C12=0,$E12="",$B12="",$G12=-2),0,$C12*IF($G12=0,IF(IF($F12="",AC$4,MIN(AC$4,$F12))&lt;$E12,0,MAX(0,INT((IF($F12="",AC$4,MIN(AC$4,$F12))-$E12)/7)+1-MAX(0,ROUNDUP((AC$3-$E12)/7,0)))),IF($G12=101,(AND(EOMONTH(AC$3,0)&gt;=MAX(AC$3,$E12),EOMONTH(AC$3,0)&lt;=IF($F12="",AC$4,MIN(AC$4,$F12)))*1+AND(EOMONTH(AC$4,0)&lt;&gt;EOMONTH(AC$3,0),EOMONTH(AC$4,0)&gt;=MAX(AC$3,$E12),EOMONTH(AC$4,0)&lt;=IF($F12="",AC$4,MIN(AC$4,$F12)))*1),IF($G12=102,(AND(WORKDAY(EOMONTH(AC$3,0)+1,-3)&gt;=MAX(AC$3,$E12),WORKDAY(EOMONTH(AC$3,0)+1,-3)&lt;=IF($F12="",AC$4,MIN(AC$4,$F12)))*1+AND(WORKDAY(EOMONTH(AC$4,0)+1,-3)&lt;&gt;WORKDAY(EOMONTH(AC$3,0)+1,-3),WORKDAY(EOMONTH(AC$4,0)+1,-3)&gt;=MAX(AC$3,$E12),WORKDAY(EOMONTH(AC$4,0)+1,-3)&lt;=IF($F12="",AC$4,MIN(AC$4,$F12)))*1),IF(AND(IF(EDATE($E12,MAX(0,ROUNDUP(((YEAR(AC$3)-YEAR($E12))*12+MONTH(AC$3)-MONTH($E12))/$G12,0)*$G12))&lt;AC$3,EDATE($E12,MAX(0,ROUNDUP(((YEAR(AC$3)-YEAR($E12))*12+MONTH(AC$3)-MONTH($E12))/$G12,0)*$G12)+$G12),EDATE($E12,MAX(0,ROUNDUP(((YEAR(AC$3)-YEAR($E12))*12+MONTH(AC$3)-MONTH($E12))/$G12,0)*$G12)))&gt;=AC$3,IF(EDATE($E12,MAX(0,ROUNDUP(((YEAR(AC$3)-YEAR($E12))*12+MONTH(AC$3)-MONTH($E12))/$G12,0)*$G12))&lt;AC$3,EDATE($E12,MAX(0,ROUNDUP(((YEAR(AC$3)-YEAR($E12))*12+MONTH(AC$3)-MONTH($E12))/$G12,0)*$G12)+$G12),EDATE($E12,MAX(0,ROUNDUP(((YEAR(AC$3)-YEAR($E12))*12+MONTH(AC$3)-MONTH($E12))/$G12,0)*$G12)))&lt;=IF($F12="",AC$4,MIN(AC$4,$F12))),1,0)))))</f>
        <v>0</v>
      </c>
      <c r="AD12" s="25" t="n">
        <f aca="false">IF(OR($C12="",$C12=0,$E12="",$B12="",$G12=-2),0,$C12*IF($G12=0,IF(IF($F12="",AD$4,MIN(AD$4,$F12))&lt;$E12,0,MAX(0,INT((IF($F12="",AD$4,MIN(AD$4,$F12))-$E12)/7)+1-MAX(0,ROUNDUP((AD$3-$E12)/7,0)))),IF($G12=101,(AND(EOMONTH(AD$3,0)&gt;=MAX(AD$3,$E12),EOMONTH(AD$3,0)&lt;=IF($F12="",AD$4,MIN(AD$4,$F12)))*1+AND(EOMONTH(AD$4,0)&lt;&gt;EOMONTH(AD$3,0),EOMONTH(AD$4,0)&gt;=MAX(AD$3,$E12),EOMONTH(AD$4,0)&lt;=IF($F12="",AD$4,MIN(AD$4,$F12)))*1),IF($G12=102,(AND(WORKDAY(EOMONTH(AD$3,0)+1,-3)&gt;=MAX(AD$3,$E12),WORKDAY(EOMONTH(AD$3,0)+1,-3)&lt;=IF($F12="",AD$4,MIN(AD$4,$F12)))*1+AND(WORKDAY(EOMONTH(AD$4,0)+1,-3)&lt;&gt;WORKDAY(EOMONTH(AD$3,0)+1,-3),WORKDAY(EOMONTH(AD$4,0)+1,-3)&gt;=MAX(AD$3,$E12),WORKDAY(EOMONTH(AD$4,0)+1,-3)&lt;=IF($F12="",AD$4,MIN(AD$4,$F12)))*1),IF(AND(IF(EDATE($E12,MAX(0,ROUNDUP(((YEAR(AD$3)-YEAR($E12))*12+MONTH(AD$3)-MONTH($E12))/$G12,0)*$G12))&lt;AD$3,EDATE($E12,MAX(0,ROUNDUP(((YEAR(AD$3)-YEAR($E12))*12+MONTH(AD$3)-MONTH($E12))/$G12,0)*$G12)+$G12),EDATE($E12,MAX(0,ROUNDUP(((YEAR(AD$3)-YEAR($E12))*12+MONTH(AD$3)-MONTH($E12))/$G12,0)*$G12)))&gt;=AD$3,IF(EDATE($E12,MAX(0,ROUNDUP(((YEAR(AD$3)-YEAR($E12))*12+MONTH(AD$3)-MONTH($E12))/$G12,0)*$G12))&lt;AD$3,EDATE($E12,MAX(0,ROUNDUP(((YEAR(AD$3)-YEAR($E12))*12+MONTH(AD$3)-MONTH($E12))/$G12,0)*$G12)+$G12),EDATE($E12,MAX(0,ROUNDUP(((YEAR(AD$3)-YEAR($E12))*12+MONTH(AD$3)-MONTH($E12))/$G12,0)*$G12)))&lt;=IF($F12="",AD$4,MIN(AD$4,$F12))),1,0)))))</f>
        <v>0</v>
      </c>
      <c r="AE12" s="25" t="n">
        <f aca="false">IF(OR($C12="",$C12=0,$E12="",$B12="",$G12=-2),0,$C12*IF($G12=0,IF(IF($F12="",AE$4,MIN(AE$4,$F12))&lt;$E12,0,MAX(0,INT((IF($F12="",AE$4,MIN(AE$4,$F12))-$E12)/7)+1-MAX(0,ROUNDUP((AE$3-$E12)/7,0)))),IF($G12=101,(AND(EOMONTH(AE$3,0)&gt;=MAX(AE$3,$E12),EOMONTH(AE$3,0)&lt;=IF($F12="",AE$4,MIN(AE$4,$F12)))*1+AND(EOMONTH(AE$4,0)&lt;&gt;EOMONTH(AE$3,0),EOMONTH(AE$4,0)&gt;=MAX(AE$3,$E12),EOMONTH(AE$4,0)&lt;=IF($F12="",AE$4,MIN(AE$4,$F12)))*1),IF($G12=102,(AND(WORKDAY(EOMONTH(AE$3,0)+1,-3)&gt;=MAX(AE$3,$E12),WORKDAY(EOMONTH(AE$3,0)+1,-3)&lt;=IF($F12="",AE$4,MIN(AE$4,$F12)))*1+AND(WORKDAY(EOMONTH(AE$4,0)+1,-3)&lt;&gt;WORKDAY(EOMONTH(AE$3,0)+1,-3),WORKDAY(EOMONTH(AE$4,0)+1,-3)&gt;=MAX(AE$3,$E12),WORKDAY(EOMONTH(AE$4,0)+1,-3)&lt;=IF($F12="",AE$4,MIN(AE$4,$F12)))*1),IF(AND(IF(EDATE($E12,MAX(0,ROUNDUP(((YEAR(AE$3)-YEAR($E12))*12+MONTH(AE$3)-MONTH($E12))/$G12,0)*$G12))&lt;AE$3,EDATE($E12,MAX(0,ROUNDUP(((YEAR(AE$3)-YEAR($E12))*12+MONTH(AE$3)-MONTH($E12))/$G12,0)*$G12)+$G12),EDATE($E12,MAX(0,ROUNDUP(((YEAR(AE$3)-YEAR($E12))*12+MONTH(AE$3)-MONTH($E12))/$G12,0)*$G12)))&gt;=AE$3,IF(EDATE($E12,MAX(0,ROUNDUP(((YEAR(AE$3)-YEAR($E12))*12+MONTH(AE$3)-MONTH($E12))/$G12,0)*$G12))&lt;AE$3,EDATE($E12,MAX(0,ROUNDUP(((YEAR(AE$3)-YEAR($E12))*12+MONTH(AE$3)-MONTH($E12))/$G12,0)*$G12)+$G12),EDATE($E12,MAX(0,ROUNDUP(((YEAR(AE$3)-YEAR($E12))*12+MONTH(AE$3)-MONTH($E12))/$G12,0)*$G12)))&lt;=IF($F12="",AE$4,MIN(AE$4,$F12))),1,0)))))</f>
        <v>0</v>
      </c>
      <c r="AF12" s="25" t="n">
        <f aca="false">IF(OR($C12="",$C12=0,$E12="",$B12="",$G12=-2),0,$C12*IF($G12=0,IF(IF($F12="",AF$4,MIN(AF$4,$F12))&lt;$E12,0,MAX(0,INT((IF($F12="",AF$4,MIN(AF$4,$F12))-$E12)/7)+1-MAX(0,ROUNDUP((AF$3-$E12)/7,0)))),IF($G12=101,(AND(EOMONTH(AF$3,0)&gt;=MAX(AF$3,$E12),EOMONTH(AF$3,0)&lt;=IF($F12="",AF$4,MIN(AF$4,$F12)))*1+AND(EOMONTH(AF$4,0)&lt;&gt;EOMONTH(AF$3,0),EOMONTH(AF$4,0)&gt;=MAX(AF$3,$E12),EOMONTH(AF$4,0)&lt;=IF($F12="",AF$4,MIN(AF$4,$F12)))*1),IF($G12=102,(AND(WORKDAY(EOMONTH(AF$3,0)+1,-3)&gt;=MAX(AF$3,$E12),WORKDAY(EOMONTH(AF$3,0)+1,-3)&lt;=IF($F12="",AF$4,MIN(AF$4,$F12)))*1+AND(WORKDAY(EOMONTH(AF$4,0)+1,-3)&lt;&gt;WORKDAY(EOMONTH(AF$3,0)+1,-3),WORKDAY(EOMONTH(AF$4,0)+1,-3)&gt;=MAX(AF$3,$E12),WORKDAY(EOMONTH(AF$4,0)+1,-3)&lt;=IF($F12="",AF$4,MIN(AF$4,$F12)))*1),IF(AND(IF(EDATE($E12,MAX(0,ROUNDUP(((YEAR(AF$3)-YEAR($E12))*12+MONTH(AF$3)-MONTH($E12))/$G12,0)*$G12))&lt;AF$3,EDATE($E12,MAX(0,ROUNDUP(((YEAR(AF$3)-YEAR($E12))*12+MONTH(AF$3)-MONTH($E12))/$G12,0)*$G12)+$G12),EDATE($E12,MAX(0,ROUNDUP(((YEAR(AF$3)-YEAR($E12))*12+MONTH(AF$3)-MONTH($E12))/$G12,0)*$G12)))&gt;=AF$3,IF(EDATE($E12,MAX(0,ROUNDUP(((YEAR(AF$3)-YEAR($E12))*12+MONTH(AF$3)-MONTH($E12))/$G12,0)*$G12))&lt;AF$3,EDATE($E12,MAX(0,ROUNDUP(((YEAR(AF$3)-YEAR($E12))*12+MONTH(AF$3)-MONTH($E12))/$G12,0)*$G12)+$G12),EDATE($E12,MAX(0,ROUNDUP(((YEAR(AF$3)-YEAR($E12))*12+MONTH(AF$3)-MONTH($E12))/$G12,0)*$G12)))&lt;=IF($F12="",AF$4,MIN(AF$4,$F12))),1,0)))))</f>
        <v>0</v>
      </c>
    </row>
    <row r="13" customFormat="false" ht="15" hidden="false" customHeight="false" outlineLevel="0" collapsed="false">
      <c r="A13" s="5"/>
      <c r="B13" s="5"/>
      <c r="C13" s="8"/>
      <c r="D13" s="5"/>
      <c r="E13" s="7"/>
      <c r="F13" s="7"/>
      <c r="G13" s="24" t="n">
        <f aca="false">IFERROR(INDEX(Listen!$E$2:$E$8,MATCH(D13,Listen!$D$2:$D$8,0)),-2)</f>
        <v>-2</v>
      </c>
      <c r="H13" s="25" t="n">
        <f aca="false">IF(OR($C13="",$C13=0,$E13="",$B13="",$G13=-2),0,$C13*IF($G13=0,IF(IF($F13="",H$4,MIN(H$4,$F13))&lt;$E13,0,MAX(0,INT((IF($F13="",H$4,MIN(H$4,$F13))-$E13)/7)+1-MAX(0,ROUNDUP((H$3-$E13)/7,0)))),IF($G13=101,(AND(EOMONTH(H$3,0)&gt;=MAX(H$3,$E13),EOMONTH(H$3,0)&lt;=IF($F13="",H$4,MIN(H$4,$F13)))*1+AND(EOMONTH(H$4,0)&lt;&gt;EOMONTH(H$3,0),EOMONTH(H$4,0)&gt;=MAX(H$3,$E13),EOMONTH(H$4,0)&lt;=IF($F13="",H$4,MIN(H$4,$F13)))*1),IF($G13=102,(AND(WORKDAY(EOMONTH(H$3,0)+1,-3)&gt;=MAX(H$3,$E13),WORKDAY(EOMONTH(H$3,0)+1,-3)&lt;=IF($F13="",H$4,MIN(H$4,$F13)))*1+AND(WORKDAY(EOMONTH(H$4,0)+1,-3)&lt;&gt;WORKDAY(EOMONTH(H$3,0)+1,-3),WORKDAY(EOMONTH(H$4,0)+1,-3)&gt;=MAX(H$3,$E13),WORKDAY(EOMONTH(H$4,0)+1,-3)&lt;=IF($F13="",H$4,MIN(H$4,$F13)))*1),IF(AND(IF(EDATE($E13,MAX(0,ROUNDUP(((YEAR(H$3)-YEAR($E13))*12+MONTH(H$3)-MONTH($E13))/$G13,0)*$G13))&lt;H$3,EDATE($E13,MAX(0,ROUNDUP(((YEAR(H$3)-YEAR($E13))*12+MONTH(H$3)-MONTH($E13))/$G13,0)*$G13)+$G13),EDATE($E13,MAX(0,ROUNDUP(((YEAR(H$3)-YEAR($E13))*12+MONTH(H$3)-MONTH($E13))/$G13,0)*$G13)))&gt;=H$3,IF(EDATE($E13,MAX(0,ROUNDUP(((YEAR(H$3)-YEAR($E13))*12+MONTH(H$3)-MONTH($E13))/$G13,0)*$G13))&lt;H$3,EDATE($E13,MAX(0,ROUNDUP(((YEAR(H$3)-YEAR($E13))*12+MONTH(H$3)-MONTH($E13))/$G13,0)*$G13)+$G13),EDATE($E13,MAX(0,ROUNDUP(((YEAR(H$3)-YEAR($E13))*12+MONTH(H$3)-MONTH($E13))/$G13,0)*$G13)))&lt;=IF($F13="",H$4,MIN(H$4,$F13))),1,0)))))</f>
        <v>0</v>
      </c>
      <c r="I13" s="25" t="n">
        <f aca="false">IF(OR($C13="",$C13=0,$E13="",$B13="",$G13=-2),0,$C13*IF($G13=0,IF(IF($F13="",I$4,MIN(I$4,$F13))&lt;$E13,0,MAX(0,INT((IF($F13="",I$4,MIN(I$4,$F13))-$E13)/7)+1-MAX(0,ROUNDUP((I$3-$E13)/7,0)))),IF($G13=101,(AND(EOMONTH(I$3,0)&gt;=MAX(I$3,$E13),EOMONTH(I$3,0)&lt;=IF($F13="",I$4,MIN(I$4,$F13)))*1+AND(EOMONTH(I$4,0)&lt;&gt;EOMONTH(I$3,0),EOMONTH(I$4,0)&gt;=MAX(I$3,$E13),EOMONTH(I$4,0)&lt;=IF($F13="",I$4,MIN(I$4,$F13)))*1),IF($G13=102,(AND(WORKDAY(EOMONTH(I$3,0)+1,-3)&gt;=MAX(I$3,$E13),WORKDAY(EOMONTH(I$3,0)+1,-3)&lt;=IF($F13="",I$4,MIN(I$4,$F13)))*1+AND(WORKDAY(EOMONTH(I$4,0)+1,-3)&lt;&gt;WORKDAY(EOMONTH(I$3,0)+1,-3),WORKDAY(EOMONTH(I$4,0)+1,-3)&gt;=MAX(I$3,$E13),WORKDAY(EOMONTH(I$4,0)+1,-3)&lt;=IF($F13="",I$4,MIN(I$4,$F13)))*1),IF(AND(IF(EDATE($E13,MAX(0,ROUNDUP(((YEAR(I$3)-YEAR($E13))*12+MONTH(I$3)-MONTH($E13))/$G13,0)*$G13))&lt;I$3,EDATE($E13,MAX(0,ROUNDUP(((YEAR(I$3)-YEAR($E13))*12+MONTH(I$3)-MONTH($E13))/$G13,0)*$G13)+$G13),EDATE($E13,MAX(0,ROUNDUP(((YEAR(I$3)-YEAR($E13))*12+MONTH(I$3)-MONTH($E13))/$G13,0)*$G13)))&gt;=I$3,IF(EDATE($E13,MAX(0,ROUNDUP(((YEAR(I$3)-YEAR($E13))*12+MONTH(I$3)-MONTH($E13))/$G13,0)*$G13))&lt;I$3,EDATE($E13,MAX(0,ROUNDUP(((YEAR(I$3)-YEAR($E13))*12+MONTH(I$3)-MONTH($E13))/$G13,0)*$G13)+$G13),EDATE($E13,MAX(0,ROUNDUP(((YEAR(I$3)-YEAR($E13))*12+MONTH(I$3)-MONTH($E13))/$G13,0)*$G13)))&lt;=IF($F13="",I$4,MIN(I$4,$F13))),1,0)))))</f>
        <v>0</v>
      </c>
      <c r="J13" s="25" t="n">
        <f aca="false">IF(OR($C13="",$C13=0,$E13="",$B13="",$G13=-2),0,$C13*IF($G13=0,IF(IF($F13="",J$4,MIN(J$4,$F13))&lt;$E13,0,MAX(0,INT((IF($F13="",J$4,MIN(J$4,$F13))-$E13)/7)+1-MAX(0,ROUNDUP((J$3-$E13)/7,0)))),IF($G13=101,(AND(EOMONTH(J$3,0)&gt;=MAX(J$3,$E13),EOMONTH(J$3,0)&lt;=IF($F13="",J$4,MIN(J$4,$F13)))*1+AND(EOMONTH(J$4,0)&lt;&gt;EOMONTH(J$3,0),EOMONTH(J$4,0)&gt;=MAX(J$3,$E13),EOMONTH(J$4,0)&lt;=IF($F13="",J$4,MIN(J$4,$F13)))*1),IF($G13=102,(AND(WORKDAY(EOMONTH(J$3,0)+1,-3)&gt;=MAX(J$3,$E13),WORKDAY(EOMONTH(J$3,0)+1,-3)&lt;=IF($F13="",J$4,MIN(J$4,$F13)))*1+AND(WORKDAY(EOMONTH(J$4,0)+1,-3)&lt;&gt;WORKDAY(EOMONTH(J$3,0)+1,-3),WORKDAY(EOMONTH(J$4,0)+1,-3)&gt;=MAX(J$3,$E13),WORKDAY(EOMONTH(J$4,0)+1,-3)&lt;=IF($F13="",J$4,MIN(J$4,$F13)))*1),IF(AND(IF(EDATE($E13,MAX(0,ROUNDUP(((YEAR(J$3)-YEAR($E13))*12+MONTH(J$3)-MONTH($E13))/$G13,0)*$G13))&lt;J$3,EDATE($E13,MAX(0,ROUNDUP(((YEAR(J$3)-YEAR($E13))*12+MONTH(J$3)-MONTH($E13))/$G13,0)*$G13)+$G13),EDATE($E13,MAX(0,ROUNDUP(((YEAR(J$3)-YEAR($E13))*12+MONTH(J$3)-MONTH($E13))/$G13,0)*$G13)))&gt;=J$3,IF(EDATE($E13,MAX(0,ROUNDUP(((YEAR(J$3)-YEAR($E13))*12+MONTH(J$3)-MONTH($E13))/$G13,0)*$G13))&lt;J$3,EDATE($E13,MAX(0,ROUNDUP(((YEAR(J$3)-YEAR($E13))*12+MONTH(J$3)-MONTH($E13))/$G13,0)*$G13)+$G13),EDATE($E13,MAX(0,ROUNDUP(((YEAR(J$3)-YEAR($E13))*12+MONTH(J$3)-MONTH($E13))/$G13,0)*$G13)))&lt;=IF($F13="",J$4,MIN(J$4,$F13))),1,0)))))</f>
        <v>0</v>
      </c>
      <c r="K13" s="25" t="n">
        <f aca="false">IF(OR($C13="",$C13=0,$E13="",$B13="",$G13=-2),0,$C13*IF($G13=0,IF(IF($F13="",K$4,MIN(K$4,$F13))&lt;$E13,0,MAX(0,INT((IF($F13="",K$4,MIN(K$4,$F13))-$E13)/7)+1-MAX(0,ROUNDUP((K$3-$E13)/7,0)))),IF($G13=101,(AND(EOMONTH(K$3,0)&gt;=MAX(K$3,$E13),EOMONTH(K$3,0)&lt;=IF($F13="",K$4,MIN(K$4,$F13)))*1+AND(EOMONTH(K$4,0)&lt;&gt;EOMONTH(K$3,0),EOMONTH(K$4,0)&gt;=MAX(K$3,$E13),EOMONTH(K$4,0)&lt;=IF($F13="",K$4,MIN(K$4,$F13)))*1),IF($G13=102,(AND(WORKDAY(EOMONTH(K$3,0)+1,-3)&gt;=MAX(K$3,$E13),WORKDAY(EOMONTH(K$3,0)+1,-3)&lt;=IF($F13="",K$4,MIN(K$4,$F13)))*1+AND(WORKDAY(EOMONTH(K$4,0)+1,-3)&lt;&gt;WORKDAY(EOMONTH(K$3,0)+1,-3),WORKDAY(EOMONTH(K$4,0)+1,-3)&gt;=MAX(K$3,$E13),WORKDAY(EOMONTH(K$4,0)+1,-3)&lt;=IF($F13="",K$4,MIN(K$4,$F13)))*1),IF(AND(IF(EDATE($E13,MAX(0,ROUNDUP(((YEAR(K$3)-YEAR($E13))*12+MONTH(K$3)-MONTH($E13))/$G13,0)*$G13))&lt;K$3,EDATE($E13,MAX(0,ROUNDUP(((YEAR(K$3)-YEAR($E13))*12+MONTH(K$3)-MONTH($E13))/$G13,0)*$G13)+$G13),EDATE($E13,MAX(0,ROUNDUP(((YEAR(K$3)-YEAR($E13))*12+MONTH(K$3)-MONTH($E13))/$G13,0)*$G13)))&gt;=K$3,IF(EDATE($E13,MAX(0,ROUNDUP(((YEAR(K$3)-YEAR($E13))*12+MONTH(K$3)-MONTH($E13))/$G13,0)*$G13))&lt;K$3,EDATE($E13,MAX(0,ROUNDUP(((YEAR(K$3)-YEAR($E13))*12+MONTH(K$3)-MONTH($E13))/$G13,0)*$G13)+$G13),EDATE($E13,MAX(0,ROUNDUP(((YEAR(K$3)-YEAR($E13))*12+MONTH(K$3)-MONTH($E13))/$G13,0)*$G13)))&lt;=IF($F13="",K$4,MIN(K$4,$F13))),1,0)))))</f>
        <v>0</v>
      </c>
      <c r="L13" s="25" t="n">
        <f aca="false">IF(OR($C13="",$C13=0,$E13="",$B13="",$G13=-2),0,$C13*IF($G13=0,IF(IF($F13="",L$4,MIN(L$4,$F13))&lt;$E13,0,MAX(0,INT((IF($F13="",L$4,MIN(L$4,$F13))-$E13)/7)+1-MAX(0,ROUNDUP((L$3-$E13)/7,0)))),IF($G13=101,(AND(EOMONTH(L$3,0)&gt;=MAX(L$3,$E13),EOMONTH(L$3,0)&lt;=IF($F13="",L$4,MIN(L$4,$F13)))*1+AND(EOMONTH(L$4,0)&lt;&gt;EOMONTH(L$3,0),EOMONTH(L$4,0)&gt;=MAX(L$3,$E13),EOMONTH(L$4,0)&lt;=IF($F13="",L$4,MIN(L$4,$F13)))*1),IF($G13=102,(AND(WORKDAY(EOMONTH(L$3,0)+1,-3)&gt;=MAX(L$3,$E13),WORKDAY(EOMONTH(L$3,0)+1,-3)&lt;=IF($F13="",L$4,MIN(L$4,$F13)))*1+AND(WORKDAY(EOMONTH(L$4,0)+1,-3)&lt;&gt;WORKDAY(EOMONTH(L$3,0)+1,-3),WORKDAY(EOMONTH(L$4,0)+1,-3)&gt;=MAX(L$3,$E13),WORKDAY(EOMONTH(L$4,0)+1,-3)&lt;=IF($F13="",L$4,MIN(L$4,$F13)))*1),IF(AND(IF(EDATE($E13,MAX(0,ROUNDUP(((YEAR(L$3)-YEAR($E13))*12+MONTH(L$3)-MONTH($E13))/$G13,0)*$G13))&lt;L$3,EDATE($E13,MAX(0,ROUNDUP(((YEAR(L$3)-YEAR($E13))*12+MONTH(L$3)-MONTH($E13))/$G13,0)*$G13)+$G13),EDATE($E13,MAX(0,ROUNDUP(((YEAR(L$3)-YEAR($E13))*12+MONTH(L$3)-MONTH($E13))/$G13,0)*$G13)))&gt;=L$3,IF(EDATE($E13,MAX(0,ROUNDUP(((YEAR(L$3)-YEAR($E13))*12+MONTH(L$3)-MONTH($E13))/$G13,0)*$G13))&lt;L$3,EDATE($E13,MAX(0,ROUNDUP(((YEAR(L$3)-YEAR($E13))*12+MONTH(L$3)-MONTH($E13))/$G13,0)*$G13)+$G13),EDATE($E13,MAX(0,ROUNDUP(((YEAR(L$3)-YEAR($E13))*12+MONTH(L$3)-MONTH($E13))/$G13,0)*$G13)))&lt;=IF($F13="",L$4,MIN(L$4,$F13))),1,0)))))</f>
        <v>0</v>
      </c>
      <c r="M13" s="25" t="n">
        <f aca="false">IF(OR($C13="",$C13=0,$E13="",$B13="",$G13=-2),0,$C13*IF($G13=0,IF(IF($F13="",M$4,MIN(M$4,$F13))&lt;$E13,0,MAX(0,INT((IF($F13="",M$4,MIN(M$4,$F13))-$E13)/7)+1-MAX(0,ROUNDUP((M$3-$E13)/7,0)))),IF($G13=101,(AND(EOMONTH(M$3,0)&gt;=MAX(M$3,$E13),EOMONTH(M$3,0)&lt;=IF($F13="",M$4,MIN(M$4,$F13)))*1+AND(EOMONTH(M$4,0)&lt;&gt;EOMONTH(M$3,0),EOMONTH(M$4,0)&gt;=MAX(M$3,$E13),EOMONTH(M$4,0)&lt;=IF($F13="",M$4,MIN(M$4,$F13)))*1),IF($G13=102,(AND(WORKDAY(EOMONTH(M$3,0)+1,-3)&gt;=MAX(M$3,$E13),WORKDAY(EOMONTH(M$3,0)+1,-3)&lt;=IF($F13="",M$4,MIN(M$4,$F13)))*1+AND(WORKDAY(EOMONTH(M$4,0)+1,-3)&lt;&gt;WORKDAY(EOMONTH(M$3,0)+1,-3),WORKDAY(EOMONTH(M$4,0)+1,-3)&gt;=MAX(M$3,$E13),WORKDAY(EOMONTH(M$4,0)+1,-3)&lt;=IF($F13="",M$4,MIN(M$4,$F13)))*1),IF(AND(IF(EDATE($E13,MAX(0,ROUNDUP(((YEAR(M$3)-YEAR($E13))*12+MONTH(M$3)-MONTH($E13))/$G13,0)*$G13))&lt;M$3,EDATE($E13,MAX(0,ROUNDUP(((YEAR(M$3)-YEAR($E13))*12+MONTH(M$3)-MONTH($E13))/$G13,0)*$G13)+$G13),EDATE($E13,MAX(0,ROUNDUP(((YEAR(M$3)-YEAR($E13))*12+MONTH(M$3)-MONTH($E13))/$G13,0)*$G13)))&gt;=M$3,IF(EDATE($E13,MAX(0,ROUNDUP(((YEAR(M$3)-YEAR($E13))*12+MONTH(M$3)-MONTH($E13))/$G13,0)*$G13))&lt;M$3,EDATE($E13,MAX(0,ROUNDUP(((YEAR(M$3)-YEAR($E13))*12+MONTH(M$3)-MONTH($E13))/$G13,0)*$G13)+$G13),EDATE($E13,MAX(0,ROUNDUP(((YEAR(M$3)-YEAR($E13))*12+MONTH(M$3)-MONTH($E13))/$G13,0)*$G13)))&lt;=IF($F13="",M$4,MIN(M$4,$F13))),1,0)))))</f>
        <v>0</v>
      </c>
      <c r="N13" s="25" t="n">
        <f aca="false">IF(OR($C13="",$C13=0,$E13="",$B13="",$G13=-2),0,$C13*IF($G13=0,IF(IF($F13="",N$4,MIN(N$4,$F13))&lt;$E13,0,MAX(0,INT((IF($F13="",N$4,MIN(N$4,$F13))-$E13)/7)+1-MAX(0,ROUNDUP((N$3-$E13)/7,0)))),IF($G13=101,(AND(EOMONTH(N$3,0)&gt;=MAX(N$3,$E13),EOMONTH(N$3,0)&lt;=IF($F13="",N$4,MIN(N$4,$F13)))*1+AND(EOMONTH(N$4,0)&lt;&gt;EOMONTH(N$3,0),EOMONTH(N$4,0)&gt;=MAX(N$3,$E13),EOMONTH(N$4,0)&lt;=IF($F13="",N$4,MIN(N$4,$F13)))*1),IF($G13=102,(AND(WORKDAY(EOMONTH(N$3,0)+1,-3)&gt;=MAX(N$3,$E13),WORKDAY(EOMONTH(N$3,0)+1,-3)&lt;=IF($F13="",N$4,MIN(N$4,$F13)))*1+AND(WORKDAY(EOMONTH(N$4,0)+1,-3)&lt;&gt;WORKDAY(EOMONTH(N$3,0)+1,-3),WORKDAY(EOMONTH(N$4,0)+1,-3)&gt;=MAX(N$3,$E13),WORKDAY(EOMONTH(N$4,0)+1,-3)&lt;=IF($F13="",N$4,MIN(N$4,$F13)))*1),IF(AND(IF(EDATE($E13,MAX(0,ROUNDUP(((YEAR(N$3)-YEAR($E13))*12+MONTH(N$3)-MONTH($E13))/$G13,0)*$G13))&lt;N$3,EDATE($E13,MAX(0,ROUNDUP(((YEAR(N$3)-YEAR($E13))*12+MONTH(N$3)-MONTH($E13))/$G13,0)*$G13)+$G13),EDATE($E13,MAX(0,ROUNDUP(((YEAR(N$3)-YEAR($E13))*12+MONTH(N$3)-MONTH($E13))/$G13,0)*$G13)))&gt;=N$3,IF(EDATE($E13,MAX(0,ROUNDUP(((YEAR(N$3)-YEAR($E13))*12+MONTH(N$3)-MONTH($E13))/$G13,0)*$G13))&lt;N$3,EDATE($E13,MAX(0,ROUNDUP(((YEAR(N$3)-YEAR($E13))*12+MONTH(N$3)-MONTH($E13))/$G13,0)*$G13)+$G13),EDATE($E13,MAX(0,ROUNDUP(((YEAR(N$3)-YEAR($E13))*12+MONTH(N$3)-MONTH($E13))/$G13,0)*$G13)))&lt;=IF($F13="",N$4,MIN(N$4,$F13))),1,0)))))</f>
        <v>0</v>
      </c>
      <c r="O13" s="25" t="n">
        <f aca="false">IF(OR($C13="",$C13=0,$E13="",$B13="",$G13=-2),0,$C13*IF($G13=0,IF(IF($F13="",O$4,MIN(O$4,$F13))&lt;$E13,0,MAX(0,INT((IF($F13="",O$4,MIN(O$4,$F13))-$E13)/7)+1-MAX(0,ROUNDUP((O$3-$E13)/7,0)))),IF($G13=101,(AND(EOMONTH(O$3,0)&gt;=MAX(O$3,$E13),EOMONTH(O$3,0)&lt;=IF($F13="",O$4,MIN(O$4,$F13)))*1+AND(EOMONTH(O$4,0)&lt;&gt;EOMONTH(O$3,0),EOMONTH(O$4,0)&gt;=MAX(O$3,$E13),EOMONTH(O$4,0)&lt;=IF($F13="",O$4,MIN(O$4,$F13)))*1),IF($G13=102,(AND(WORKDAY(EOMONTH(O$3,0)+1,-3)&gt;=MAX(O$3,$E13),WORKDAY(EOMONTH(O$3,0)+1,-3)&lt;=IF($F13="",O$4,MIN(O$4,$F13)))*1+AND(WORKDAY(EOMONTH(O$4,0)+1,-3)&lt;&gt;WORKDAY(EOMONTH(O$3,0)+1,-3),WORKDAY(EOMONTH(O$4,0)+1,-3)&gt;=MAX(O$3,$E13),WORKDAY(EOMONTH(O$4,0)+1,-3)&lt;=IF($F13="",O$4,MIN(O$4,$F13)))*1),IF(AND(IF(EDATE($E13,MAX(0,ROUNDUP(((YEAR(O$3)-YEAR($E13))*12+MONTH(O$3)-MONTH($E13))/$G13,0)*$G13))&lt;O$3,EDATE($E13,MAX(0,ROUNDUP(((YEAR(O$3)-YEAR($E13))*12+MONTH(O$3)-MONTH($E13))/$G13,0)*$G13)+$G13),EDATE($E13,MAX(0,ROUNDUP(((YEAR(O$3)-YEAR($E13))*12+MONTH(O$3)-MONTH($E13))/$G13,0)*$G13)))&gt;=O$3,IF(EDATE($E13,MAX(0,ROUNDUP(((YEAR(O$3)-YEAR($E13))*12+MONTH(O$3)-MONTH($E13))/$G13,0)*$G13))&lt;O$3,EDATE($E13,MAX(0,ROUNDUP(((YEAR(O$3)-YEAR($E13))*12+MONTH(O$3)-MONTH($E13))/$G13,0)*$G13)+$G13),EDATE($E13,MAX(0,ROUNDUP(((YEAR(O$3)-YEAR($E13))*12+MONTH(O$3)-MONTH($E13))/$G13,0)*$G13)))&lt;=IF($F13="",O$4,MIN(O$4,$F13))),1,0)))))</f>
        <v>0</v>
      </c>
      <c r="P13" s="25" t="n">
        <f aca="false">IF(OR($C13="",$C13=0,$E13="",$B13="",$G13=-2),0,$C13*IF($G13=0,IF(IF($F13="",P$4,MIN(P$4,$F13))&lt;$E13,0,MAX(0,INT((IF($F13="",P$4,MIN(P$4,$F13))-$E13)/7)+1-MAX(0,ROUNDUP((P$3-$E13)/7,0)))),IF($G13=101,(AND(EOMONTH(P$3,0)&gt;=MAX(P$3,$E13),EOMONTH(P$3,0)&lt;=IF($F13="",P$4,MIN(P$4,$F13)))*1+AND(EOMONTH(P$4,0)&lt;&gt;EOMONTH(P$3,0),EOMONTH(P$4,0)&gt;=MAX(P$3,$E13),EOMONTH(P$4,0)&lt;=IF($F13="",P$4,MIN(P$4,$F13)))*1),IF($G13=102,(AND(WORKDAY(EOMONTH(P$3,0)+1,-3)&gt;=MAX(P$3,$E13),WORKDAY(EOMONTH(P$3,0)+1,-3)&lt;=IF($F13="",P$4,MIN(P$4,$F13)))*1+AND(WORKDAY(EOMONTH(P$4,0)+1,-3)&lt;&gt;WORKDAY(EOMONTH(P$3,0)+1,-3),WORKDAY(EOMONTH(P$4,0)+1,-3)&gt;=MAX(P$3,$E13),WORKDAY(EOMONTH(P$4,0)+1,-3)&lt;=IF($F13="",P$4,MIN(P$4,$F13)))*1),IF(AND(IF(EDATE($E13,MAX(0,ROUNDUP(((YEAR(P$3)-YEAR($E13))*12+MONTH(P$3)-MONTH($E13))/$G13,0)*$G13))&lt;P$3,EDATE($E13,MAX(0,ROUNDUP(((YEAR(P$3)-YEAR($E13))*12+MONTH(P$3)-MONTH($E13))/$G13,0)*$G13)+$G13),EDATE($E13,MAX(0,ROUNDUP(((YEAR(P$3)-YEAR($E13))*12+MONTH(P$3)-MONTH($E13))/$G13,0)*$G13)))&gt;=P$3,IF(EDATE($E13,MAX(0,ROUNDUP(((YEAR(P$3)-YEAR($E13))*12+MONTH(P$3)-MONTH($E13))/$G13,0)*$G13))&lt;P$3,EDATE($E13,MAX(0,ROUNDUP(((YEAR(P$3)-YEAR($E13))*12+MONTH(P$3)-MONTH($E13))/$G13,0)*$G13)+$G13),EDATE($E13,MAX(0,ROUNDUP(((YEAR(P$3)-YEAR($E13))*12+MONTH(P$3)-MONTH($E13))/$G13,0)*$G13)))&lt;=IF($F13="",P$4,MIN(P$4,$F13))),1,0)))))</f>
        <v>0</v>
      </c>
      <c r="Q13" s="25" t="n">
        <f aca="false">IF(OR($C13="",$C13=0,$E13="",$B13="",$G13=-2),0,$C13*IF($G13=0,IF(IF($F13="",Q$4,MIN(Q$4,$F13))&lt;$E13,0,MAX(0,INT((IF($F13="",Q$4,MIN(Q$4,$F13))-$E13)/7)+1-MAX(0,ROUNDUP((Q$3-$E13)/7,0)))),IF($G13=101,(AND(EOMONTH(Q$3,0)&gt;=MAX(Q$3,$E13),EOMONTH(Q$3,0)&lt;=IF($F13="",Q$4,MIN(Q$4,$F13)))*1+AND(EOMONTH(Q$4,0)&lt;&gt;EOMONTH(Q$3,0),EOMONTH(Q$4,0)&gt;=MAX(Q$3,$E13),EOMONTH(Q$4,0)&lt;=IF($F13="",Q$4,MIN(Q$4,$F13)))*1),IF($G13=102,(AND(WORKDAY(EOMONTH(Q$3,0)+1,-3)&gt;=MAX(Q$3,$E13),WORKDAY(EOMONTH(Q$3,0)+1,-3)&lt;=IF($F13="",Q$4,MIN(Q$4,$F13)))*1+AND(WORKDAY(EOMONTH(Q$4,0)+1,-3)&lt;&gt;WORKDAY(EOMONTH(Q$3,0)+1,-3),WORKDAY(EOMONTH(Q$4,0)+1,-3)&gt;=MAX(Q$3,$E13),WORKDAY(EOMONTH(Q$4,0)+1,-3)&lt;=IF($F13="",Q$4,MIN(Q$4,$F13)))*1),IF(AND(IF(EDATE($E13,MAX(0,ROUNDUP(((YEAR(Q$3)-YEAR($E13))*12+MONTH(Q$3)-MONTH($E13))/$G13,0)*$G13))&lt;Q$3,EDATE($E13,MAX(0,ROUNDUP(((YEAR(Q$3)-YEAR($E13))*12+MONTH(Q$3)-MONTH($E13))/$G13,0)*$G13)+$G13),EDATE($E13,MAX(0,ROUNDUP(((YEAR(Q$3)-YEAR($E13))*12+MONTH(Q$3)-MONTH($E13))/$G13,0)*$G13)))&gt;=Q$3,IF(EDATE($E13,MAX(0,ROUNDUP(((YEAR(Q$3)-YEAR($E13))*12+MONTH(Q$3)-MONTH($E13))/$G13,0)*$G13))&lt;Q$3,EDATE($E13,MAX(0,ROUNDUP(((YEAR(Q$3)-YEAR($E13))*12+MONTH(Q$3)-MONTH($E13))/$G13,0)*$G13)+$G13),EDATE($E13,MAX(0,ROUNDUP(((YEAR(Q$3)-YEAR($E13))*12+MONTH(Q$3)-MONTH($E13))/$G13,0)*$G13)))&lt;=IF($F13="",Q$4,MIN(Q$4,$F13))),1,0)))))</f>
        <v>0</v>
      </c>
      <c r="R13" s="25" t="n">
        <f aca="false">IF(OR($C13="",$C13=0,$E13="",$B13="",$G13=-2),0,$C13*IF($G13=0,IF(IF($F13="",R$4,MIN(R$4,$F13))&lt;$E13,0,MAX(0,INT((IF($F13="",R$4,MIN(R$4,$F13))-$E13)/7)+1-MAX(0,ROUNDUP((R$3-$E13)/7,0)))),IF($G13=101,(AND(EOMONTH(R$3,0)&gt;=MAX(R$3,$E13),EOMONTH(R$3,0)&lt;=IF($F13="",R$4,MIN(R$4,$F13)))*1+AND(EOMONTH(R$4,0)&lt;&gt;EOMONTH(R$3,0),EOMONTH(R$4,0)&gt;=MAX(R$3,$E13),EOMONTH(R$4,0)&lt;=IF($F13="",R$4,MIN(R$4,$F13)))*1),IF($G13=102,(AND(WORKDAY(EOMONTH(R$3,0)+1,-3)&gt;=MAX(R$3,$E13),WORKDAY(EOMONTH(R$3,0)+1,-3)&lt;=IF($F13="",R$4,MIN(R$4,$F13)))*1+AND(WORKDAY(EOMONTH(R$4,0)+1,-3)&lt;&gt;WORKDAY(EOMONTH(R$3,0)+1,-3),WORKDAY(EOMONTH(R$4,0)+1,-3)&gt;=MAX(R$3,$E13),WORKDAY(EOMONTH(R$4,0)+1,-3)&lt;=IF($F13="",R$4,MIN(R$4,$F13)))*1),IF(AND(IF(EDATE($E13,MAX(0,ROUNDUP(((YEAR(R$3)-YEAR($E13))*12+MONTH(R$3)-MONTH($E13))/$G13,0)*$G13))&lt;R$3,EDATE($E13,MAX(0,ROUNDUP(((YEAR(R$3)-YEAR($E13))*12+MONTH(R$3)-MONTH($E13))/$G13,0)*$G13)+$G13),EDATE($E13,MAX(0,ROUNDUP(((YEAR(R$3)-YEAR($E13))*12+MONTH(R$3)-MONTH($E13))/$G13,0)*$G13)))&gt;=R$3,IF(EDATE($E13,MAX(0,ROUNDUP(((YEAR(R$3)-YEAR($E13))*12+MONTH(R$3)-MONTH($E13))/$G13,0)*$G13))&lt;R$3,EDATE($E13,MAX(0,ROUNDUP(((YEAR(R$3)-YEAR($E13))*12+MONTH(R$3)-MONTH($E13))/$G13,0)*$G13)+$G13),EDATE($E13,MAX(0,ROUNDUP(((YEAR(R$3)-YEAR($E13))*12+MONTH(R$3)-MONTH($E13))/$G13,0)*$G13)))&lt;=IF($F13="",R$4,MIN(R$4,$F13))),1,0)))))</f>
        <v>0</v>
      </c>
      <c r="S13" s="25" t="n">
        <f aca="false">IF(OR($C13="",$C13=0,$E13="",$B13="",$G13=-2),0,$C13*IF($G13=0,IF(IF($F13="",S$4,MIN(S$4,$F13))&lt;$E13,0,MAX(0,INT((IF($F13="",S$4,MIN(S$4,$F13))-$E13)/7)+1-MAX(0,ROUNDUP((S$3-$E13)/7,0)))),IF($G13=101,(AND(EOMONTH(S$3,0)&gt;=MAX(S$3,$E13),EOMONTH(S$3,0)&lt;=IF($F13="",S$4,MIN(S$4,$F13)))*1+AND(EOMONTH(S$4,0)&lt;&gt;EOMONTH(S$3,0),EOMONTH(S$4,0)&gt;=MAX(S$3,$E13),EOMONTH(S$4,0)&lt;=IF($F13="",S$4,MIN(S$4,$F13)))*1),IF($G13=102,(AND(WORKDAY(EOMONTH(S$3,0)+1,-3)&gt;=MAX(S$3,$E13),WORKDAY(EOMONTH(S$3,0)+1,-3)&lt;=IF($F13="",S$4,MIN(S$4,$F13)))*1+AND(WORKDAY(EOMONTH(S$4,0)+1,-3)&lt;&gt;WORKDAY(EOMONTH(S$3,0)+1,-3),WORKDAY(EOMONTH(S$4,0)+1,-3)&gt;=MAX(S$3,$E13),WORKDAY(EOMONTH(S$4,0)+1,-3)&lt;=IF($F13="",S$4,MIN(S$4,$F13)))*1),IF(AND(IF(EDATE($E13,MAX(0,ROUNDUP(((YEAR(S$3)-YEAR($E13))*12+MONTH(S$3)-MONTH($E13))/$G13,0)*$G13))&lt;S$3,EDATE($E13,MAX(0,ROUNDUP(((YEAR(S$3)-YEAR($E13))*12+MONTH(S$3)-MONTH($E13))/$G13,0)*$G13)+$G13),EDATE($E13,MAX(0,ROUNDUP(((YEAR(S$3)-YEAR($E13))*12+MONTH(S$3)-MONTH($E13))/$G13,0)*$G13)))&gt;=S$3,IF(EDATE($E13,MAX(0,ROUNDUP(((YEAR(S$3)-YEAR($E13))*12+MONTH(S$3)-MONTH($E13))/$G13,0)*$G13))&lt;S$3,EDATE($E13,MAX(0,ROUNDUP(((YEAR(S$3)-YEAR($E13))*12+MONTH(S$3)-MONTH($E13))/$G13,0)*$G13)+$G13),EDATE($E13,MAX(0,ROUNDUP(((YEAR(S$3)-YEAR($E13))*12+MONTH(S$3)-MONTH($E13))/$G13,0)*$G13)))&lt;=IF($F13="",S$4,MIN(S$4,$F13))),1,0)))))</f>
        <v>0</v>
      </c>
      <c r="T13" s="25" t="n">
        <f aca="false">IF(OR($C13="",$C13=0,$E13="",$B13="",$G13=-2),0,$C13*IF($G13=0,IF(IF($F13="",T$4,MIN(T$4,$F13))&lt;$E13,0,MAX(0,INT((IF($F13="",T$4,MIN(T$4,$F13))-$E13)/7)+1-MAX(0,ROUNDUP((T$3-$E13)/7,0)))),IF($G13=101,(AND(EOMONTH(T$3,0)&gt;=MAX(T$3,$E13),EOMONTH(T$3,0)&lt;=IF($F13="",T$4,MIN(T$4,$F13)))*1+AND(EOMONTH(T$4,0)&lt;&gt;EOMONTH(T$3,0),EOMONTH(T$4,0)&gt;=MAX(T$3,$E13),EOMONTH(T$4,0)&lt;=IF($F13="",T$4,MIN(T$4,$F13)))*1),IF($G13=102,(AND(WORKDAY(EOMONTH(T$3,0)+1,-3)&gt;=MAX(T$3,$E13),WORKDAY(EOMONTH(T$3,0)+1,-3)&lt;=IF($F13="",T$4,MIN(T$4,$F13)))*1+AND(WORKDAY(EOMONTH(T$4,0)+1,-3)&lt;&gt;WORKDAY(EOMONTH(T$3,0)+1,-3),WORKDAY(EOMONTH(T$4,0)+1,-3)&gt;=MAX(T$3,$E13),WORKDAY(EOMONTH(T$4,0)+1,-3)&lt;=IF($F13="",T$4,MIN(T$4,$F13)))*1),IF(AND(IF(EDATE($E13,MAX(0,ROUNDUP(((YEAR(T$3)-YEAR($E13))*12+MONTH(T$3)-MONTH($E13))/$G13,0)*$G13))&lt;T$3,EDATE($E13,MAX(0,ROUNDUP(((YEAR(T$3)-YEAR($E13))*12+MONTH(T$3)-MONTH($E13))/$G13,0)*$G13)+$G13),EDATE($E13,MAX(0,ROUNDUP(((YEAR(T$3)-YEAR($E13))*12+MONTH(T$3)-MONTH($E13))/$G13,0)*$G13)))&gt;=T$3,IF(EDATE($E13,MAX(0,ROUNDUP(((YEAR(T$3)-YEAR($E13))*12+MONTH(T$3)-MONTH($E13))/$G13,0)*$G13))&lt;T$3,EDATE($E13,MAX(0,ROUNDUP(((YEAR(T$3)-YEAR($E13))*12+MONTH(T$3)-MONTH($E13))/$G13,0)*$G13)+$G13),EDATE($E13,MAX(0,ROUNDUP(((YEAR(T$3)-YEAR($E13))*12+MONTH(T$3)-MONTH($E13))/$G13,0)*$G13)))&lt;=IF($F13="",T$4,MIN(T$4,$F13))),1,0)))))</f>
        <v>0</v>
      </c>
      <c r="U13" s="25" t="n">
        <f aca="false">IF(OR($C13="",$C13=0,$E13="",$B13="",$G13=-2),0,$C13*IF($G13=0,IF(IF($F13="",U$4,MIN(U$4,$F13))&lt;$E13,0,MAX(0,INT((IF($F13="",U$4,MIN(U$4,$F13))-$E13)/7)+1-MAX(0,ROUNDUP((U$3-$E13)/7,0)))),IF($G13=101,(AND(EOMONTH(U$3,0)&gt;=MAX(U$3,$E13),EOMONTH(U$3,0)&lt;=IF($F13="",U$4,MIN(U$4,$F13)))*1+AND(EOMONTH(U$4,0)&lt;&gt;EOMONTH(U$3,0),EOMONTH(U$4,0)&gt;=MAX(U$3,$E13),EOMONTH(U$4,0)&lt;=IF($F13="",U$4,MIN(U$4,$F13)))*1),IF($G13=102,(AND(WORKDAY(EOMONTH(U$3,0)+1,-3)&gt;=MAX(U$3,$E13),WORKDAY(EOMONTH(U$3,0)+1,-3)&lt;=IF($F13="",U$4,MIN(U$4,$F13)))*1+AND(WORKDAY(EOMONTH(U$4,0)+1,-3)&lt;&gt;WORKDAY(EOMONTH(U$3,0)+1,-3),WORKDAY(EOMONTH(U$4,0)+1,-3)&gt;=MAX(U$3,$E13),WORKDAY(EOMONTH(U$4,0)+1,-3)&lt;=IF($F13="",U$4,MIN(U$4,$F13)))*1),IF(AND(IF(EDATE($E13,MAX(0,ROUNDUP(((YEAR(U$3)-YEAR($E13))*12+MONTH(U$3)-MONTH($E13))/$G13,0)*$G13))&lt;U$3,EDATE($E13,MAX(0,ROUNDUP(((YEAR(U$3)-YEAR($E13))*12+MONTH(U$3)-MONTH($E13))/$G13,0)*$G13)+$G13),EDATE($E13,MAX(0,ROUNDUP(((YEAR(U$3)-YEAR($E13))*12+MONTH(U$3)-MONTH($E13))/$G13,0)*$G13)))&gt;=U$3,IF(EDATE($E13,MAX(0,ROUNDUP(((YEAR(U$3)-YEAR($E13))*12+MONTH(U$3)-MONTH($E13))/$G13,0)*$G13))&lt;U$3,EDATE($E13,MAX(0,ROUNDUP(((YEAR(U$3)-YEAR($E13))*12+MONTH(U$3)-MONTH($E13))/$G13,0)*$G13)+$G13),EDATE($E13,MAX(0,ROUNDUP(((YEAR(U$3)-YEAR($E13))*12+MONTH(U$3)-MONTH($E13))/$G13,0)*$G13)))&lt;=IF($F13="",U$4,MIN(U$4,$F13))),1,0)))))</f>
        <v>0</v>
      </c>
      <c r="V13" s="25" t="n">
        <f aca="false">IF(OR($C13="",$C13=0,$E13="",$B13="",$G13=-2),0,$C13*IF($G13=0,IF(IF($F13="",V$4,MIN(V$4,$F13))&lt;$E13,0,MAX(0,INT((IF($F13="",V$4,MIN(V$4,$F13))-$E13)/7)+1-MAX(0,ROUNDUP((V$3-$E13)/7,0)))),IF($G13=101,(AND(EOMONTH(V$3,0)&gt;=MAX(V$3,$E13),EOMONTH(V$3,0)&lt;=IF($F13="",V$4,MIN(V$4,$F13)))*1+AND(EOMONTH(V$4,0)&lt;&gt;EOMONTH(V$3,0),EOMONTH(V$4,0)&gt;=MAX(V$3,$E13),EOMONTH(V$4,0)&lt;=IF($F13="",V$4,MIN(V$4,$F13)))*1),IF($G13=102,(AND(WORKDAY(EOMONTH(V$3,0)+1,-3)&gt;=MAX(V$3,$E13),WORKDAY(EOMONTH(V$3,0)+1,-3)&lt;=IF($F13="",V$4,MIN(V$4,$F13)))*1+AND(WORKDAY(EOMONTH(V$4,0)+1,-3)&lt;&gt;WORKDAY(EOMONTH(V$3,0)+1,-3),WORKDAY(EOMONTH(V$4,0)+1,-3)&gt;=MAX(V$3,$E13),WORKDAY(EOMONTH(V$4,0)+1,-3)&lt;=IF($F13="",V$4,MIN(V$4,$F13)))*1),IF(AND(IF(EDATE($E13,MAX(0,ROUNDUP(((YEAR(V$3)-YEAR($E13))*12+MONTH(V$3)-MONTH($E13))/$G13,0)*$G13))&lt;V$3,EDATE($E13,MAX(0,ROUNDUP(((YEAR(V$3)-YEAR($E13))*12+MONTH(V$3)-MONTH($E13))/$G13,0)*$G13)+$G13),EDATE($E13,MAX(0,ROUNDUP(((YEAR(V$3)-YEAR($E13))*12+MONTH(V$3)-MONTH($E13))/$G13,0)*$G13)))&gt;=V$3,IF(EDATE($E13,MAX(0,ROUNDUP(((YEAR(V$3)-YEAR($E13))*12+MONTH(V$3)-MONTH($E13))/$G13,0)*$G13))&lt;V$3,EDATE($E13,MAX(0,ROUNDUP(((YEAR(V$3)-YEAR($E13))*12+MONTH(V$3)-MONTH($E13))/$G13,0)*$G13)+$G13),EDATE($E13,MAX(0,ROUNDUP(((YEAR(V$3)-YEAR($E13))*12+MONTH(V$3)-MONTH($E13))/$G13,0)*$G13)))&lt;=IF($F13="",V$4,MIN(V$4,$F13))),1,0)))))</f>
        <v>0</v>
      </c>
      <c r="W13" s="25" t="n">
        <f aca="false">IF(OR($C13="",$C13=0,$E13="",$B13="",$G13=-2),0,$C13*IF($G13=0,IF(IF($F13="",W$4,MIN(W$4,$F13))&lt;$E13,0,MAX(0,INT((IF($F13="",W$4,MIN(W$4,$F13))-$E13)/7)+1-MAX(0,ROUNDUP((W$3-$E13)/7,0)))),IF($G13=101,(AND(EOMONTH(W$3,0)&gt;=MAX(W$3,$E13),EOMONTH(W$3,0)&lt;=IF($F13="",W$4,MIN(W$4,$F13)))*1+AND(EOMONTH(W$4,0)&lt;&gt;EOMONTH(W$3,0),EOMONTH(W$4,0)&gt;=MAX(W$3,$E13),EOMONTH(W$4,0)&lt;=IF($F13="",W$4,MIN(W$4,$F13)))*1),IF($G13=102,(AND(WORKDAY(EOMONTH(W$3,0)+1,-3)&gt;=MAX(W$3,$E13),WORKDAY(EOMONTH(W$3,0)+1,-3)&lt;=IF($F13="",W$4,MIN(W$4,$F13)))*1+AND(WORKDAY(EOMONTH(W$4,0)+1,-3)&lt;&gt;WORKDAY(EOMONTH(W$3,0)+1,-3),WORKDAY(EOMONTH(W$4,0)+1,-3)&gt;=MAX(W$3,$E13),WORKDAY(EOMONTH(W$4,0)+1,-3)&lt;=IF($F13="",W$4,MIN(W$4,$F13)))*1),IF(AND(IF(EDATE($E13,MAX(0,ROUNDUP(((YEAR(W$3)-YEAR($E13))*12+MONTH(W$3)-MONTH($E13))/$G13,0)*$G13))&lt;W$3,EDATE($E13,MAX(0,ROUNDUP(((YEAR(W$3)-YEAR($E13))*12+MONTH(W$3)-MONTH($E13))/$G13,0)*$G13)+$G13),EDATE($E13,MAX(0,ROUNDUP(((YEAR(W$3)-YEAR($E13))*12+MONTH(W$3)-MONTH($E13))/$G13,0)*$G13)))&gt;=W$3,IF(EDATE($E13,MAX(0,ROUNDUP(((YEAR(W$3)-YEAR($E13))*12+MONTH(W$3)-MONTH($E13))/$G13,0)*$G13))&lt;W$3,EDATE($E13,MAX(0,ROUNDUP(((YEAR(W$3)-YEAR($E13))*12+MONTH(W$3)-MONTH($E13))/$G13,0)*$G13)+$G13),EDATE($E13,MAX(0,ROUNDUP(((YEAR(W$3)-YEAR($E13))*12+MONTH(W$3)-MONTH($E13))/$G13,0)*$G13)))&lt;=IF($F13="",W$4,MIN(W$4,$F13))),1,0)))))</f>
        <v>0</v>
      </c>
      <c r="X13" s="25" t="n">
        <f aca="false">IF(OR($C13="",$C13=0,$E13="",$B13="",$G13=-2),0,$C13*IF($G13=0,IF(IF($F13="",X$4,MIN(X$4,$F13))&lt;$E13,0,MAX(0,INT((IF($F13="",X$4,MIN(X$4,$F13))-$E13)/7)+1-MAX(0,ROUNDUP((X$3-$E13)/7,0)))),IF($G13=101,(AND(EOMONTH(X$3,0)&gt;=MAX(X$3,$E13),EOMONTH(X$3,0)&lt;=IF($F13="",X$4,MIN(X$4,$F13)))*1+AND(EOMONTH(X$4,0)&lt;&gt;EOMONTH(X$3,0),EOMONTH(X$4,0)&gt;=MAX(X$3,$E13),EOMONTH(X$4,0)&lt;=IF($F13="",X$4,MIN(X$4,$F13)))*1),IF($G13=102,(AND(WORKDAY(EOMONTH(X$3,0)+1,-3)&gt;=MAX(X$3,$E13),WORKDAY(EOMONTH(X$3,0)+1,-3)&lt;=IF($F13="",X$4,MIN(X$4,$F13)))*1+AND(WORKDAY(EOMONTH(X$4,0)+1,-3)&lt;&gt;WORKDAY(EOMONTH(X$3,0)+1,-3),WORKDAY(EOMONTH(X$4,0)+1,-3)&gt;=MAX(X$3,$E13),WORKDAY(EOMONTH(X$4,0)+1,-3)&lt;=IF($F13="",X$4,MIN(X$4,$F13)))*1),IF(AND(IF(EDATE($E13,MAX(0,ROUNDUP(((YEAR(X$3)-YEAR($E13))*12+MONTH(X$3)-MONTH($E13))/$G13,0)*$G13))&lt;X$3,EDATE($E13,MAX(0,ROUNDUP(((YEAR(X$3)-YEAR($E13))*12+MONTH(X$3)-MONTH($E13))/$G13,0)*$G13)+$G13),EDATE($E13,MAX(0,ROUNDUP(((YEAR(X$3)-YEAR($E13))*12+MONTH(X$3)-MONTH($E13))/$G13,0)*$G13)))&gt;=X$3,IF(EDATE($E13,MAX(0,ROUNDUP(((YEAR(X$3)-YEAR($E13))*12+MONTH(X$3)-MONTH($E13))/$G13,0)*$G13))&lt;X$3,EDATE($E13,MAX(0,ROUNDUP(((YEAR(X$3)-YEAR($E13))*12+MONTH(X$3)-MONTH($E13))/$G13,0)*$G13)+$G13),EDATE($E13,MAX(0,ROUNDUP(((YEAR(X$3)-YEAR($E13))*12+MONTH(X$3)-MONTH($E13))/$G13,0)*$G13)))&lt;=IF($F13="",X$4,MIN(X$4,$F13))),1,0)))))</f>
        <v>0</v>
      </c>
      <c r="Y13" s="25" t="n">
        <f aca="false">IF(OR($C13="",$C13=0,$E13="",$B13="",$G13=-2),0,$C13*IF($G13=0,IF(IF($F13="",Y$4,MIN(Y$4,$F13))&lt;$E13,0,MAX(0,INT((IF($F13="",Y$4,MIN(Y$4,$F13))-$E13)/7)+1-MAX(0,ROUNDUP((Y$3-$E13)/7,0)))),IF($G13=101,(AND(EOMONTH(Y$3,0)&gt;=MAX(Y$3,$E13),EOMONTH(Y$3,0)&lt;=IF($F13="",Y$4,MIN(Y$4,$F13)))*1+AND(EOMONTH(Y$4,0)&lt;&gt;EOMONTH(Y$3,0),EOMONTH(Y$4,0)&gt;=MAX(Y$3,$E13),EOMONTH(Y$4,0)&lt;=IF($F13="",Y$4,MIN(Y$4,$F13)))*1),IF($G13=102,(AND(WORKDAY(EOMONTH(Y$3,0)+1,-3)&gt;=MAX(Y$3,$E13),WORKDAY(EOMONTH(Y$3,0)+1,-3)&lt;=IF($F13="",Y$4,MIN(Y$4,$F13)))*1+AND(WORKDAY(EOMONTH(Y$4,0)+1,-3)&lt;&gt;WORKDAY(EOMONTH(Y$3,0)+1,-3),WORKDAY(EOMONTH(Y$4,0)+1,-3)&gt;=MAX(Y$3,$E13),WORKDAY(EOMONTH(Y$4,0)+1,-3)&lt;=IF($F13="",Y$4,MIN(Y$4,$F13)))*1),IF(AND(IF(EDATE($E13,MAX(0,ROUNDUP(((YEAR(Y$3)-YEAR($E13))*12+MONTH(Y$3)-MONTH($E13))/$G13,0)*$G13))&lt;Y$3,EDATE($E13,MAX(0,ROUNDUP(((YEAR(Y$3)-YEAR($E13))*12+MONTH(Y$3)-MONTH($E13))/$G13,0)*$G13)+$G13),EDATE($E13,MAX(0,ROUNDUP(((YEAR(Y$3)-YEAR($E13))*12+MONTH(Y$3)-MONTH($E13))/$G13,0)*$G13)))&gt;=Y$3,IF(EDATE($E13,MAX(0,ROUNDUP(((YEAR(Y$3)-YEAR($E13))*12+MONTH(Y$3)-MONTH($E13))/$G13,0)*$G13))&lt;Y$3,EDATE($E13,MAX(0,ROUNDUP(((YEAR(Y$3)-YEAR($E13))*12+MONTH(Y$3)-MONTH($E13))/$G13,0)*$G13)+$G13),EDATE($E13,MAX(0,ROUNDUP(((YEAR(Y$3)-YEAR($E13))*12+MONTH(Y$3)-MONTH($E13))/$G13,0)*$G13)))&lt;=IF($F13="",Y$4,MIN(Y$4,$F13))),1,0)))))</f>
        <v>0</v>
      </c>
      <c r="Z13" s="25" t="n">
        <f aca="false">IF(OR($C13="",$C13=0,$E13="",$B13="",$G13=-2),0,$C13*IF($G13=0,IF(IF($F13="",Z$4,MIN(Z$4,$F13))&lt;$E13,0,MAX(0,INT((IF($F13="",Z$4,MIN(Z$4,$F13))-$E13)/7)+1-MAX(0,ROUNDUP((Z$3-$E13)/7,0)))),IF($G13=101,(AND(EOMONTH(Z$3,0)&gt;=MAX(Z$3,$E13),EOMONTH(Z$3,0)&lt;=IF($F13="",Z$4,MIN(Z$4,$F13)))*1+AND(EOMONTH(Z$4,0)&lt;&gt;EOMONTH(Z$3,0),EOMONTH(Z$4,0)&gt;=MAX(Z$3,$E13),EOMONTH(Z$4,0)&lt;=IF($F13="",Z$4,MIN(Z$4,$F13)))*1),IF($G13=102,(AND(WORKDAY(EOMONTH(Z$3,0)+1,-3)&gt;=MAX(Z$3,$E13),WORKDAY(EOMONTH(Z$3,0)+1,-3)&lt;=IF($F13="",Z$4,MIN(Z$4,$F13)))*1+AND(WORKDAY(EOMONTH(Z$4,0)+1,-3)&lt;&gt;WORKDAY(EOMONTH(Z$3,0)+1,-3),WORKDAY(EOMONTH(Z$4,0)+1,-3)&gt;=MAX(Z$3,$E13),WORKDAY(EOMONTH(Z$4,0)+1,-3)&lt;=IF($F13="",Z$4,MIN(Z$4,$F13)))*1),IF(AND(IF(EDATE($E13,MAX(0,ROUNDUP(((YEAR(Z$3)-YEAR($E13))*12+MONTH(Z$3)-MONTH($E13))/$G13,0)*$G13))&lt;Z$3,EDATE($E13,MAX(0,ROUNDUP(((YEAR(Z$3)-YEAR($E13))*12+MONTH(Z$3)-MONTH($E13))/$G13,0)*$G13)+$G13),EDATE($E13,MAX(0,ROUNDUP(((YEAR(Z$3)-YEAR($E13))*12+MONTH(Z$3)-MONTH($E13))/$G13,0)*$G13)))&gt;=Z$3,IF(EDATE($E13,MAX(0,ROUNDUP(((YEAR(Z$3)-YEAR($E13))*12+MONTH(Z$3)-MONTH($E13))/$G13,0)*$G13))&lt;Z$3,EDATE($E13,MAX(0,ROUNDUP(((YEAR(Z$3)-YEAR($E13))*12+MONTH(Z$3)-MONTH($E13))/$G13,0)*$G13)+$G13),EDATE($E13,MAX(0,ROUNDUP(((YEAR(Z$3)-YEAR($E13))*12+MONTH(Z$3)-MONTH($E13))/$G13,0)*$G13)))&lt;=IF($F13="",Z$4,MIN(Z$4,$F13))),1,0)))))</f>
        <v>0</v>
      </c>
      <c r="AA13" s="25" t="n">
        <f aca="false">IF(OR($C13="",$C13=0,$E13="",$B13="",$G13=-2),0,$C13*IF($G13=0,IF(IF($F13="",AA$4,MIN(AA$4,$F13))&lt;$E13,0,MAX(0,INT((IF($F13="",AA$4,MIN(AA$4,$F13))-$E13)/7)+1-MAX(0,ROUNDUP((AA$3-$E13)/7,0)))),IF($G13=101,(AND(EOMONTH(AA$3,0)&gt;=MAX(AA$3,$E13),EOMONTH(AA$3,0)&lt;=IF($F13="",AA$4,MIN(AA$4,$F13)))*1+AND(EOMONTH(AA$4,0)&lt;&gt;EOMONTH(AA$3,0),EOMONTH(AA$4,0)&gt;=MAX(AA$3,$E13),EOMONTH(AA$4,0)&lt;=IF($F13="",AA$4,MIN(AA$4,$F13)))*1),IF($G13=102,(AND(WORKDAY(EOMONTH(AA$3,0)+1,-3)&gt;=MAX(AA$3,$E13),WORKDAY(EOMONTH(AA$3,0)+1,-3)&lt;=IF($F13="",AA$4,MIN(AA$4,$F13)))*1+AND(WORKDAY(EOMONTH(AA$4,0)+1,-3)&lt;&gt;WORKDAY(EOMONTH(AA$3,0)+1,-3),WORKDAY(EOMONTH(AA$4,0)+1,-3)&gt;=MAX(AA$3,$E13),WORKDAY(EOMONTH(AA$4,0)+1,-3)&lt;=IF($F13="",AA$4,MIN(AA$4,$F13)))*1),IF(AND(IF(EDATE($E13,MAX(0,ROUNDUP(((YEAR(AA$3)-YEAR($E13))*12+MONTH(AA$3)-MONTH($E13))/$G13,0)*$G13))&lt;AA$3,EDATE($E13,MAX(0,ROUNDUP(((YEAR(AA$3)-YEAR($E13))*12+MONTH(AA$3)-MONTH($E13))/$G13,0)*$G13)+$G13),EDATE($E13,MAX(0,ROUNDUP(((YEAR(AA$3)-YEAR($E13))*12+MONTH(AA$3)-MONTH($E13))/$G13,0)*$G13)))&gt;=AA$3,IF(EDATE($E13,MAX(0,ROUNDUP(((YEAR(AA$3)-YEAR($E13))*12+MONTH(AA$3)-MONTH($E13))/$G13,0)*$G13))&lt;AA$3,EDATE($E13,MAX(0,ROUNDUP(((YEAR(AA$3)-YEAR($E13))*12+MONTH(AA$3)-MONTH($E13))/$G13,0)*$G13)+$G13),EDATE($E13,MAX(0,ROUNDUP(((YEAR(AA$3)-YEAR($E13))*12+MONTH(AA$3)-MONTH($E13))/$G13,0)*$G13)))&lt;=IF($F13="",AA$4,MIN(AA$4,$F13))),1,0)))))</f>
        <v>0</v>
      </c>
      <c r="AB13" s="25" t="n">
        <f aca="false">IF(OR($C13="",$C13=0,$E13="",$B13="",$G13=-2),0,$C13*IF($G13=0,IF(IF($F13="",AB$4,MIN(AB$4,$F13))&lt;$E13,0,MAX(0,INT((IF($F13="",AB$4,MIN(AB$4,$F13))-$E13)/7)+1-MAX(0,ROUNDUP((AB$3-$E13)/7,0)))),IF($G13=101,(AND(EOMONTH(AB$3,0)&gt;=MAX(AB$3,$E13),EOMONTH(AB$3,0)&lt;=IF($F13="",AB$4,MIN(AB$4,$F13)))*1+AND(EOMONTH(AB$4,0)&lt;&gt;EOMONTH(AB$3,0),EOMONTH(AB$4,0)&gt;=MAX(AB$3,$E13),EOMONTH(AB$4,0)&lt;=IF($F13="",AB$4,MIN(AB$4,$F13)))*1),IF($G13=102,(AND(WORKDAY(EOMONTH(AB$3,0)+1,-3)&gt;=MAX(AB$3,$E13),WORKDAY(EOMONTH(AB$3,0)+1,-3)&lt;=IF($F13="",AB$4,MIN(AB$4,$F13)))*1+AND(WORKDAY(EOMONTH(AB$4,0)+1,-3)&lt;&gt;WORKDAY(EOMONTH(AB$3,0)+1,-3),WORKDAY(EOMONTH(AB$4,0)+1,-3)&gt;=MAX(AB$3,$E13),WORKDAY(EOMONTH(AB$4,0)+1,-3)&lt;=IF($F13="",AB$4,MIN(AB$4,$F13)))*1),IF(AND(IF(EDATE($E13,MAX(0,ROUNDUP(((YEAR(AB$3)-YEAR($E13))*12+MONTH(AB$3)-MONTH($E13))/$G13,0)*$G13))&lt;AB$3,EDATE($E13,MAX(0,ROUNDUP(((YEAR(AB$3)-YEAR($E13))*12+MONTH(AB$3)-MONTH($E13))/$G13,0)*$G13)+$G13),EDATE($E13,MAX(0,ROUNDUP(((YEAR(AB$3)-YEAR($E13))*12+MONTH(AB$3)-MONTH($E13))/$G13,0)*$G13)))&gt;=AB$3,IF(EDATE($E13,MAX(0,ROUNDUP(((YEAR(AB$3)-YEAR($E13))*12+MONTH(AB$3)-MONTH($E13))/$G13,0)*$G13))&lt;AB$3,EDATE($E13,MAX(0,ROUNDUP(((YEAR(AB$3)-YEAR($E13))*12+MONTH(AB$3)-MONTH($E13))/$G13,0)*$G13)+$G13),EDATE($E13,MAX(0,ROUNDUP(((YEAR(AB$3)-YEAR($E13))*12+MONTH(AB$3)-MONTH($E13))/$G13,0)*$G13)))&lt;=IF($F13="",AB$4,MIN(AB$4,$F13))),1,0)))))</f>
        <v>0</v>
      </c>
      <c r="AC13" s="25" t="n">
        <f aca="false">IF(OR($C13="",$C13=0,$E13="",$B13="",$G13=-2),0,$C13*IF($G13=0,IF(IF($F13="",AC$4,MIN(AC$4,$F13))&lt;$E13,0,MAX(0,INT((IF($F13="",AC$4,MIN(AC$4,$F13))-$E13)/7)+1-MAX(0,ROUNDUP((AC$3-$E13)/7,0)))),IF($G13=101,(AND(EOMONTH(AC$3,0)&gt;=MAX(AC$3,$E13),EOMONTH(AC$3,0)&lt;=IF($F13="",AC$4,MIN(AC$4,$F13)))*1+AND(EOMONTH(AC$4,0)&lt;&gt;EOMONTH(AC$3,0),EOMONTH(AC$4,0)&gt;=MAX(AC$3,$E13),EOMONTH(AC$4,0)&lt;=IF($F13="",AC$4,MIN(AC$4,$F13)))*1),IF($G13=102,(AND(WORKDAY(EOMONTH(AC$3,0)+1,-3)&gt;=MAX(AC$3,$E13),WORKDAY(EOMONTH(AC$3,0)+1,-3)&lt;=IF($F13="",AC$4,MIN(AC$4,$F13)))*1+AND(WORKDAY(EOMONTH(AC$4,0)+1,-3)&lt;&gt;WORKDAY(EOMONTH(AC$3,0)+1,-3),WORKDAY(EOMONTH(AC$4,0)+1,-3)&gt;=MAX(AC$3,$E13),WORKDAY(EOMONTH(AC$4,0)+1,-3)&lt;=IF($F13="",AC$4,MIN(AC$4,$F13)))*1),IF(AND(IF(EDATE($E13,MAX(0,ROUNDUP(((YEAR(AC$3)-YEAR($E13))*12+MONTH(AC$3)-MONTH($E13))/$G13,0)*$G13))&lt;AC$3,EDATE($E13,MAX(0,ROUNDUP(((YEAR(AC$3)-YEAR($E13))*12+MONTH(AC$3)-MONTH($E13))/$G13,0)*$G13)+$G13),EDATE($E13,MAX(0,ROUNDUP(((YEAR(AC$3)-YEAR($E13))*12+MONTH(AC$3)-MONTH($E13))/$G13,0)*$G13)))&gt;=AC$3,IF(EDATE($E13,MAX(0,ROUNDUP(((YEAR(AC$3)-YEAR($E13))*12+MONTH(AC$3)-MONTH($E13))/$G13,0)*$G13))&lt;AC$3,EDATE($E13,MAX(0,ROUNDUP(((YEAR(AC$3)-YEAR($E13))*12+MONTH(AC$3)-MONTH($E13))/$G13,0)*$G13)+$G13),EDATE($E13,MAX(0,ROUNDUP(((YEAR(AC$3)-YEAR($E13))*12+MONTH(AC$3)-MONTH($E13))/$G13,0)*$G13)))&lt;=IF($F13="",AC$4,MIN(AC$4,$F13))),1,0)))))</f>
        <v>0</v>
      </c>
      <c r="AD13" s="25" t="n">
        <f aca="false">IF(OR($C13="",$C13=0,$E13="",$B13="",$G13=-2),0,$C13*IF($G13=0,IF(IF($F13="",AD$4,MIN(AD$4,$F13))&lt;$E13,0,MAX(0,INT((IF($F13="",AD$4,MIN(AD$4,$F13))-$E13)/7)+1-MAX(0,ROUNDUP((AD$3-$E13)/7,0)))),IF($G13=101,(AND(EOMONTH(AD$3,0)&gt;=MAX(AD$3,$E13),EOMONTH(AD$3,0)&lt;=IF($F13="",AD$4,MIN(AD$4,$F13)))*1+AND(EOMONTH(AD$4,0)&lt;&gt;EOMONTH(AD$3,0),EOMONTH(AD$4,0)&gt;=MAX(AD$3,$E13),EOMONTH(AD$4,0)&lt;=IF($F13="",AD$4,MIN(AD$4,$F13)))*1),IF($G13=102,(AND(WORKDAY(EOMONTH(AD$3,0)+1,-3)&gt;=MAX(AD$3,$E13),WORKDAY(EOMONTH(AD$3,0)+1,-3)&lt;=IF($F13="",AD$4,MIN(AD$4,$F13)))*1+AND(WORKDAY(EOMONTH(AD$4,0)+1,-3)&lt;&gt;WORKDAY(EOMONTH(AD$3,0)+1,-3),WORKDAY(EOMONTH(AD$4,0)+1,-3)&gt;=MAX(AD$3,$E13),WORKDAY(EOMONTH(AD$4,0)+1,-3)&lt;=IF($F13="",AD$4,MIN(AD$4,$F13)))*1),IF(AND(IF(EDATE($E13,MAX(0,ROUNDUP(((YEAR(AD$3)-YEAR($E13))*12+MONTH(AD$3)-MONTH($E13))/$G13,0)*$G13))&lt;AD$3,EDATE($E13,MAX(0,ROUNDUP(((YEAR(AD$3)-YEAR($E13))*12+MONTH(AD$3)-MONTH($E13))/$G13,0)*$G13)+$G13),EDATE($E13,MAX(0,ROUNDUP(((YEAR(AD$3)-YEAR($E13))*12+MONTH(AD$3)-MONTH($E13))/$G13,0)*$G13)))&gt;=AD$3,IF(EDATE($E13,MAX(0,ROUNDUP(((YEAR(AD$3)-YEAR($E13))*12+MONTH(AD$3)-MONTH($E13))/$G13,0)*$G13))&lt;AD$3,EDATE($E13,MAX(0,ROUNDUP(((YEAR(AD$3)-YEAR($E13))*12+MONTH(AD$3)-MONTH($E13))/$G13,0)*$G13)+$G13),EDATE($E13,MAX(0,ROUNDUP(((YEAR(AD$3)-YEAR($E13))*12+MONTH(AD$3)-MONTH($E13))/$G13,0)*$G13)))&lt;=IF($F13="",AD$4,MIN(AD$4,$F13))),1,0)))))</f>
        <v>0</v>
      </c>
      <c r="AE13" s="25" t="n">
        <f aca="false">IF(OR($C13="",$C13=0,$E13="",$B13="",$G13=-2),0,$C13*IF($G13=0,IF(IF($F13="",AE$4,MIN(AE$4,$F13))&lt;$E13,0,MAX(0,INT((IF($F13="",AE$4,MIN(AE$4,$F13))-$E13)/7)+1-MAX(0,ROUNDUP((AE$3-$E13)/7,0)))),IF($G13=101,(AND(EOMONTH(AE$3,0)&gt;=MAX(AE$3,$E13),EOMONTH(AE$3,0)&lt;=IF($F13="",AE$4,MIN(AE$4,$F13)))*1+AND(EOMONTH(AE$4,0)&lt;&gt;EOMONTH(AE$3,0),EOMONTH(AE$4,0)&gt;=MAX(AE$3,$E13),EOMONTH(AE$4,0)&lt;=IF($F13="",AE$4,MIN(AE$4,$F13)))*1),IF($G13=102,(AND(WORKDAY(EOMONTH(AE$3,0)+1,-3)&gt;=MAX(AE$3,$E13),WORKDAY(EOMONTH(AE$3,0)+1,-3)&lt;=IF($F13="",AE$4,MIN(AE$4,$F13)))*1+AND(WORKDAY(EOMONTH(AE$4,0)+1,-3)&lt;&gt;WORKDAY(EOMONTH(AE$3,0)+1,-3),WORKDAY(EOMONTH(AE$4,0)+1,-3)&gt;=MAX(AE$3,$E13),WORKDAY(EOMONTH(AE$4,0)+1,-3)&lt;=IF($F13="",AE$4,MIN(AE$4,$F13)))*1),IF(AND(IF(EDATE($E13,MAX(0,ROUNDUP(((YEAR(AE$3)-YEAR($E13))*12+MONTH(AE$3)-MONTH($E13))/$G13,0)*$G13))&lt;AE$3,EDATE($E13,MAX(0,ROUNDUP(((YEAR(AE$3)-YEAR($E13))*12+MONTH(AE$3)-MONTH($E13))/$G13,0)*$G13)+$G13),EDATE($E13,MAX(0,ROUNDUP(((YEAR(AE$3)-YEAR($E13))*12+MONTH(AE$3)-MONTH($E13))/$G13,0)*$G13)))&gt;=AE$3,IF(EDATE($E13,MAX(0,ROUNDUP(((YEAR(AE$3)-YEAR($E13))*12+MONTH(AE$3)-MONTH($E13))/$G13,0)*$G13))&lt;AE$3,EDATE($E13,MAX(0,ROUNDUP(((YEAR(AE$3)-YEAR($E13))*12+MONTH(AE$3)-MONTH($E13))/$G13,0)*$G13)+$G13),EDATE($E13,MAX(0,ROUNDUP(((YEAR(AE$3)-YEAR($E13))*12+MONTH(AE$3)-MONTH($E13))/$G13,0)*$G13)))&lt;=IF($F13="",AE$4,MIN(AE$4,$F13))),1,0)))))</f>
        <v>0</v>
      </c>
      <c r="AF13" s="25" t="n">
        <f aca="false">IF(OR($C13="",$C13=0,$E13="",$B13="",$G13=-2),0,$C13*IF($G13=0,IF(IF($F13="",AF$4,MIN(AF$4,$F13))&lt;$E13,0,MAX(0,INT((IF($F13="",AF$4,MIN(AF$4,$F13))-$E13)/7)+1-MAX(0,ROUNDUP((AF$3-$E13)/7,0)))),IF($G13=101,(AND(EOMONTH(AF$3,0)&gt;=MAX(AF$3,$E13),EOMONTH(AF$3,0)&lt;=IF($F13="",AF$4,MIN(AF$4,$F13)))*1+AND(EOMONTH(AF$4,0)&lt;&gt;EOMONTH(AF$3,0),EOMONTH(AF$4,0)&gt;=MAX(AF$3,$E13),EOMONTH(AF$4,0)&lt;=IF($F13="",AF$4,MIN(AF$4,$F13)))*1),IF($G13=102,(AND(WORKDAY(EOMONTH(AF$3,0)+1,-3)&gt;=MAX(AF$3,$E13),WORKDAY(EOMONTH(AF$3,0)+1,-3)&lt;=IF($F13="",AF$4,MIN(AF$4,$F13)))*1+AND(WORKDAY(EOMONTH(AF$4,0)+1,-3)&lt;&gt;WORKDAY(EOMONTH(AF$3,0)+1,-3),WORKDAY(EOMONTH(AF$4,0)+1,-3)&gt;=MAX(AF$3,$E13),WORKDAY(EOMONTH(AF$4,0)+1,-3)&lt;=IF($F13="",AF$4,MIN(AF$4,$F13)))*1),IF(AND(IF(EDATE($E13,MAX(0,ROUNDUP(((YEAR(AF$3)-YEAR($E13))*12+MONTH(AF$3)-MONTH($E13))/$G13,0)*$G13))&lt;AF$3,EDATE($E13,MAX(0,ROUNDUP(((YEAR(AF$3)-YEAR($E13))*12+MONTH(AF$3)-MONTH($E13))/$G13,0)*$G13)+$G13),EDATE($E13,MAX(0,ROUNDUP(((YEAR(AF$3)-YEAR($E13))*12+MONTH(AF$3)-MONTH($E13))/$G13,0)*$G13)))&gt;=AF$3,IF(EDATE($E13,MAX(0,ROUNDUP(((YEAR(AF$3)-YEAR($E13))*12+MONTH(AF$3)-MONTH($E13))/$G13,0)*$G13))&lt;AF$3,EDATE($E13,MAX(0,ROUNDUP(((YEAR(AF$3)-YEAR($E13))*12+MONTH(AF$3)-MONTH($E13))/$G13,0)*$G13)+$G13),EDATE($E13,MAX(0,ROUNDUP(((YEAR(AF$3)-YEAR($E13))*12+MONTH(AF$3)-MONTH($E13))/$G13,0)*$G13)))&lt;=IF($F13="",AF$4,MIN(AF$4,$F13))),1,0)))))</f>
        <v>0</v>
      </c>
    </row>
    <row r="14" customFormat="false" ht="15" hidden="false" customHeight="false" outlineLevel="0" collapsed="false">
      <c r="A14" s="5"/>
      <c r="B14" s="5"/>
      <c r="C14" s="8"/>
      <c r="D14" s="5"/>
      <c r="E14" s="7"/>
      <c r="F14" s="7"/>
      <c r="G14" s="24" t="n">
        <f aca="false">IFERROR(INDEX(Listen!$E$2:$E$8,MATCH(D14,Listen!$D$2:$D$8,0)),-2)</f>
        <v>-2</v>
      </c>
      <c r="H14" s="25" t="n">
        <f aca="false">IF(OR($C14="",$C14=0,$E14="",$B14="",$G14=-2),0,$C14*IF($G14=0,IF(IF($F14="",H$4,MIN(H$4,$F14))&lt;$E14,0,MAX(0,INT((IF($F14="",H$4,MIN(H$4,$F14))-$E14)/7)+1-MAX(0,ROUNDUP((H$3-$E14)/7,0)))),IF($G14=101,(AND(EOMONTH(H$3,0)&gt;=MAX(H$3,$E14),EOMONTH(H$3,0)&lt;=IF($F14="",H$4,MIN(H$4,$F14)))*1+AND(EOMONTH(H$4,0)&lt;&gt;EOMONTH(H$3,0),EOMONTH(H$4,0)&gt;=MAX(H$3,$E14),EOMONTH(H$4,0)&lt;=IF($F14="",H$4,MIN(H$4,$F14)))*1),IF($G14=102,(AND(WORKDAY(EOMONTH(H$3,0)+1,-3)&gt;=MAX(H$3,$E14),WORKDAY(EOMONTH(H$3,0)+1,-3)&lt;=IF($F14="",H$4,MIN(H$4,$F14)))*1+AND(WORKDAY(EOMONTH(H$4,0)+1,-3)&lt;&gt;WORKDAY(EOMONTH(H$3,0)+1,-3),WORKDAY(EOMONTH(H$4,0)+1,-3)&gt;=MAX(H$3,$E14),WORKDAY(EOMONTH(H$4,0)+1,-3)&lt;=IF($F14="",H$4,MIN(H$4,$F14)))*1),IF(AND(IF(EDATE($E14,MAX(0,ROUNDUP(((YEAR(H$3)-YEAR($E14))*12+MONTH(H$3)-MONTH($E14))/$G14,0)*$G14))&lt;H$3,EDATE($E14,MAX(0,ROUNDUP(((YEAR(H$3)-YEAR($E14))*12+MONTH(H$3)-MONTH($E14))/$G14,0)*$G14)+$G14),EDATE($E14,MAX(0,ROUNDUP(((YEAR(H$3)-YEAR($E14))*12+MONTH(H$3)-MONTH($E14))/$G14,0)*$G14)))&gt;=H$3,IF(EDATE($E14,MAX(0,ROUNDUP(((YEAR(H$3)-YEAR($E14))*12+MONTH(H$3)-MONTH($E14))/$G14,0)*$G14))&lt;H$3,EDATE($E14,MAX(0,ROUNDUP(((YEAR(H$3)-YEAR($E14))*12+MONTH(H$3)-MONTH($E14))/$G14,0)*$G14)+$G14),EDATE($E14,MAX(0,ROUNDUP(((YEAR(H$3)-YEAR($E14))*12+MONTH(H$3)-MONTH($E14))/$G14,0)*$G14)))&lt;=IF($F14="",H$4,MIN(H$4,$F14))),1,0)))))</f>
        <v>0</v>
      </c>
      <c r="I14" s="25" t="n">
        <f aca="false">IF(OR($C14="",$C14=0,$E14="",$B14="",$G14=-2),0,$C14*IF($G14=0,IF(IF($F14="",I$4,MIN(I$4,$F14))&lt;$E14,0,MAX(0,INT((IF($F14="",I$4,MIN(I$4,$F14))-$E14)/7)+1-MAX(0,ROUNDUP((I$3-$E14)/7,0)))),IF($G14=101,(AND(EOMONTH(I$3,0)&gt;=MAX(I$3,$E14),EOMONTH(I$3,0)&lt;=IF($F14="",I$4,MIN(I$4,$F14)))*1+AND(EOMONTH(I$4,0)&lt;&gt;EOMONTH(I$3,0),EOMONTH(I$4,0)&gt;=MAX(I$3,$E14),EOMONTH(I$4,0)&lt;=IF($F14="",I$4,MIN(I$4,$F14)))*1),IF($G14=102,(AND(WORKDAY(EOMONTH(I$3,0)+1,-3)&gt;=MAX(I$3,$E14),WORKDAY(EOMONTH(I$3,0)+1,-3)&lt;=IF($F14="",I$4,MIN(I$4,$F14)))*1+AND(WORKDAY(EOMONTH(I$4,0)+1,-3)&lt;&gt;WORKDAY(EOMONTH(I$3,0)+1,-3),WORKDAY(EOMONTH(I$4,0)+1,-3)&gt;=MAX(I$3,$E14),WORKDAY(EOMONTH(I$4,0)+1,-3)&lt;=IF($F14="",I$4,MIN(I$4,$F14)))*1),IF(AND(IF(EDATE($E14,MAX(0,ROUNDUP(((YEAR(I$3)-YEAR($E14))*12+MONTH(I$3)-MONTH($E14))/$G14,0)*$G14))&lt;I$3,EDATE($E14,MAX(0,ROUNDUP(((YEAR(I$3)-YEAR($E14))*12+MONTH(I$3)-MONTH($E14))/$G14,0)*$G14)+$G14),EDATE($E14,MAX(0,ROUNDUP(((YEAR(I$3)-YEAR($E14))*12+MONTH(I$3)-MONTH($E14))/$G14,0)*$G14)))&gt;=I$3,IF(EDATE($E14,MAX(0,ROUNDUP(((YEAR(I$3)-YEAR($E14))*12+MONTH(I$3)-MONTH($E14))/$G14,0)*$G14))&lt;I$3,EDATE($E14,MAX(0,ROUNDUP(((YEAR(I$3)-YEAR($E14))*12+MONTH(I$3)-MONTH($E14))/$G14,0)*$G14)+$G14),EDATE($E14,MAX(0,ROUNDUP(((YEAR(I$3)-YEAR($E14))*12+MONTH(I$3)-MONTH($E14))/$G14,0)*$G14)))&lt;=IF($F14="",I$4,MIN(I$4,$F14))),1,0)))))</f>
        <v>0</v>
      </c>
      <c r="J14" s="25" t="n">
        <f aca="false">IF(OR($C14="",$C14=0,$E14="",$B14="",$G14=-2),0,$C14*IF($G14=0,IF(IF($F14="",J$4,MIN(J$4,$F14))&lt;$E14,0,MAX(0,INT((IF($F14="",J$4,MIN(J$4,$F14))-$E14)/7)+1-MAX(0,ROUNDUP((J$3-$E14)/7,0)))),IF($G14=101,(AND(EOMONTH(J$3,0)&gt;=MAX(J$3,$E14),EOMONTH(J$3,0)&lt;=IF($F14="",J$4,MIN(J$4,$F14)))*1+AND(EOMONTH(J$4,0)&lt;&gt;EOMONTH(J$3,0),EOMONTH(J$4,0)&gt;=MAX(J$3,$E14),EOMONTH(J$4,0)&lt;=IF($F14="",J$4,MIN(J$4,$F14)))*1),IF($G14=102,(AND(WORKDAY(EOMONTH(J$3,0)+1,-3)&gt;=MAX(J$3,$E14),WORKDAY(EOMONTH(J$3,0)+1,-3)&lt;=IF($F14="",J$4,MIN(J$4,$F14)))*1+AND(WORKDAY(EOMONTH(J$4,0)+1,-3)&lt;&gt;WORKDAY(EOMONTH(J$3,0)+1,-3),WORKDAY(EOMONTH(J$4,0)+1,-3)&gt;=MAX(J$3,$E14),WORKDAY(EOMONTH(J$4,0)+1,-3)&lt;=IF($F14="",J$4,MIN(J$4,$F14)))*1),IF(AND(IF(EDATE($E14,MAX(0,ROUNDUP(((YEAR(J$3)-YEAR($E14))*12+MONTH(J$3)-MONTH($E14))/$G14,0)*$G14))&lt;J$3,EDATE($E14,MAX(0,ROUNDUP(((YEAR(J$3)-YEAR($E14))*12+MONTH(J$3)-MONTH($E14))/$G14,0)*$G14)+$G14),EDATE($E14,MAX(0,ROUNDUP(((YEAR(J$3)-YEAR($E14))*12+MONTH(J$3)-MONTH($E14))/$G14,0)*$G14)))&gt;=J$3,IF(EDATE($E14,MAX(0,ROUNDUP(((YEAR(J$3)-YEAR($E14))*12+MONTH(J$3)-MONTH($E14))/$G14,0)*$G14))&lt;J$3,EDATE($E14,MAX(0,ROUNDUP(((YEAR(J$3)-YEAR($E14))*12+MONTH(J$3)-MONTH($E14))/$G14,0)*$G14)+$G14),EDATE($E14,MAX(0,ROUNDUP(((YEAR(J$3)-YEAR($E14))*12+MONTH(J$3)-MONTH($E14))/$G14,0)*$G14)))&lt;=IF($F14="",J$4,MIN(J$4,$F14))),1,0)))))</f>
        <v>0</v>
      </c>
      <c r="K14" s="25" t="n">
        <f aca="false">IF(OR($C14="",$C14=0,$E14="",$B14="",$G14=-2),0,$C14*IF($G14=0,IF(IF($F14="",K$4,MIN(K$4,$F14))&lt;$E14,0,MAX(0,INT((IF($F14="",K$4,MIN(K$4,$F14))-$E14)/7)+1-MAX(0,ROUNDUP((K$3-$E14)/7,0)))),IF($G14=101,(AND(EOMONTH(K$3,0)&gt;=MAX(K$3,$E14),EOMONTH(K$3,0)&lt;=IF($F14="",K$4,MIN(K$4,$F14)))*1+AND(EOMONTH(K$4,0)&lt;&gt;EOMONTH(K$3,0),EOMONTH(K$4,0)&gt;=MAX(K$3,$E14),EOMONTH(K$4,0)&lt;=IF($F14="",K$4,MIN(K$4,$F14)))*1),IF($G14=102,(AND(WORKDAY(EOMONTH(K$3,0)+1,-3)&gt;=MAX(K$3,$E14),WORKDAY(EOMONTH(K$3,0)+1,-3)&lt;=IF($F14="",K$4,MIN(K$4,$F14)))*1+AND(WORKDAY(EOMONTH(K$4,0)+1,-3)&lt;&gt;WORKDAY(EOMONTH(K$3,0)+1,-3),WORKDAY(EOMONTH(K$4,0)+1,-3)&gt;=MAX(K$3,$E14),WORKDAY(EOMONTH(K$4,0)+1,-3)&lt;=IF($F14="",K$4,MIN(K$4,$F14)))*1),IF(AND(IF(EDATE($E14,MAX(0,ROUNDUP(((YEAR(K$3)-YEAR($E14))*12+MONTH(K$3)-MONTH($E14))/$G14,0)*$G14))&lt;K$3,EDATE($E14,MAX(0,ROUNDUP(((YEAR(K$3)-YEAR($E14))*12+MONTH(K$3)-MONTH($E14))/$G14,0)*$G14)+$G14),EDATE($E14,MAX(0,ROUNDUP(((YEAR(K$3)-YEAR($E14))*12+MONTH(K$3)-MONTH($E14))/$G14,0)*$G14)))&gt;=K$3,IF(EDATE($E14,MAX(0,ROUNDUP(((YEAR(K$3)-YEAR($E14))*12+MONTH(K$3)-MONTH($E14))/$G14,0)*$G14))&lt;K$3,EDATE($E14,MAX(0,ROUNDUP(((YEAR(K$3)-YEAR($E14))*12+MONTH(K$3)-MONTH($E14))/$G14,0)*$G14)+$G14),EDATE($E14,MAX(0,ROUNDUP(((YEAR(K$3)-YEAR($E14))*12+MONTH(K$3)-MONTH($E14))/$G14,0)*$G14)))&lt;=IF($F14="",K$4,MIN(K$4,$F14))),1,0)))))</f>
        <v>0</v>
      </c>
      <c r="L14" s="25" t="n">
        <f aca="false">IF(OR($C14="",$C14=0,$E14="",$B14="",$G14=-2),0,$C14*IF($G14=0,IF(IF($F14="",L$4,MIN(L$4,$F14))&lt;$E14,0,MAX(0,INT((IF($F14="",L$4,MIN(L$4,$F14))-$E14)/7)+1-MAX(0,ROUNDUP((L$3-$E14)/7,0)))),IF($G14=101,(AND(EOMONTH(L$3,0)&gt;=MAX(L$3,$E14),EOMONTH(L$3,0)&lt;=IF($F14="",L$4,MIN(L$4,$F14)))*1+AND(EOMONTH(L$4,0)&lt;&gt;EOMONTH(L$3,0),EOMONTH(L$4,0)&gt;=MAX(L$3,$E14),EOMONTH(L$4,0)&lt;=IF($F14="",L$4,MIN(L$4,$F14)))*1),IF($G14=102,(AND(WORKDAY(EOMONTH(L$3,0)+1,-3)&gt;=MAX(L$3,$E14),WORKDAY(EOMONTH(L$3,0)+1,-3)&lt;=IF($F14="",L$4,MIN(L$4,$F14)))*1+AND(WORKDAY(EOMONTH(L$4,0)+1,-3)&lt;&gt;WORKDAY(EOMONTH(L$3,0)+1,-3),WORKDAY(EOMONTH(L$4,0)+1,-3)&gt;=MAX(L$3,$E14),WORKDAY(EOMONTH(L$4,0)+1,-3)&lt;=IF($F14="",L$4,MIN(L$4,$F14)))*1),IF(AND(IF(EDATE($E14,MAX(0,ROUNDUP(((YEAR(L$3)-YEAR($E14))*12+MONTH(L$3)-MONTH($E14))/$G14,0)*$G14))&lt;L$3,EDATE($E14,MAX(0,ROUNDUP(((YEAR(L$3)-YEAR($E14))*12+MONTH(L$3)-MONTH($E14))/$G14,0)*$G14)+$G14),EDATE($E14,MAX(0,ROUNDUP(((YEAR(L$3)-YEAR($E14))*12+MONTH(L$3)-MONTH($E14))/$G14,0)*$G14)))&gt;=L$3,IF(EDATE($E14,MAX(0,ROUNDUP(((YEAR(L$3)-YEAR($E14))*12+MONTH(L$3)-MONTH($E14))/$G14,0)*$G14))&lt;L$3,EDATE($E14,MAX(0,ROUNDUP(((YEAR(L$3)-YEAR($E14))*12+MONTH(L$3)-MONTH($E14))/$G14,0)*$G14)+$G14),EDATE($E14,MAX(0,ROUNDUP(((YEAR(L$3)-YEAR($E14))*12+MONTH(L$3)-MONTH($E14))/$G14,0)*$G14)))&lt;=IF($F14="",L$4,MIN(L$4,$F14))),1,0)))))</f>
        <v>0</v>
      </c>
      <c r="M14" s="25" t="n">
        <f aca="false">IF(OR($C14="",$C14=0,$E14="",$B14="",$G14=-2),0,$C14*IF($G14=0,IF(IF($F14="",M$4,MIN(M$4,$F14))&lt;$E14,0,MAX(0,INT((IF($F14="",M$4,MIN(M$4,$F14))-$E14)/7)+1-MAX(0,ROUNDUP((M$3-$E14)/7,0)))),IF($G14=101,(AND(EOMONTH(M$3,0)&gt;=MAX(M$3,$E14),EOMONTH(M$3,0)&lt;=IF($F14="",M$4,MIN(M$4,$F14)))*1+AND(EOMONTH(M$4,0)&lt;&gt;EOMONTH(M$3,0),EOMONTH(M$4,0)&gt;=MAX(M$3,$E14),EOMONTH(M$4,0)&lt;=IF($F14="",M$4,MIN(M$4,$F14)))*1),IF($G14=102,(AND(WORKDAY(EOMONTH(M$3,0)+1,-3)&gt;=MAX(M$3,$E14),WORKDAY(EOMONTH(M$3,0)+1,-3)&lt;=IF($F14="",M$4,MIN(M$4,$F14)))*1+AND(WORKDAY(EOMONTH(M$4,0)+1,-3)&lt;&gt;WORKDAY(EOMONTH(M$3,0)+1,-3),WORKDAY(EOMONTH(M$4,0)+1,-3)&gt;=MAX(M$3,$E14),WORKDAY(EOMONTH(M$4,0)+1,-3)&lt;=IF($F14="",M$4,MIN(M$4,$F14)))*1),IF(AND(IF(EDATE($E14,MAX(0,ROUNDUP(((YEAR(M$3)-YEAR($E14))*12+MONTH(M$3)-MONTH($E14))/$G14,0)*$G14))&lt;M$3,EDATE($E14,MAX(0,ROUNDUP(((YEAR(M$3)-YEAR($E14))*12+MONTH(M$3)-MONTH($E14))/$G14,0)*$G14)+$G14),EDATE($E14,MAX(0,ROUNDUP(((YEAR(M$3)-YEAR($E14))*12+MONTH(M$3)-MONTH($E14))/$G14,0)*$G14)))&gt;=M$3,IF(EDATE($E14,MAX(0,ROUNDUP(((YEAR(M$3)-YEAR($E14))*12+MONTH(M$3)-MONTH($E14))/$G14,0)*$G14))&lt;M$3,EDATE($E14,MAX(0,ROUNDUP(((YEAR(M$3)-YEAR($E14))*12+MONTH(M$3)-MONTH($E14))/$G14,0)*$G14)+$G14),EDATE($E14,MAX(0,ROUNDUP(((YEAR(M$3)-YEAR($E14))*12+MONTH(M$3)-MONTH($E14))/$G14,0)*$G14)))&lt;=IF($F14="",M$4,MIN(M$4,$F14))),1,0)))))</f>
        <v>0</v>
      </c>
      <c r="N14" s="25" t="n">
        <f aca="false">IF(OR($C14="",$C14=0,$E14="",$B14="",$G14=-2),0,$C14*IF($G14=0,IF(IF($F14="",N$4,MIN(N$4,$F14))&lt;$E14,0,MAX(0,INT((IF($F14="",N$4,MIN(N$4,$F14))-$E14)/7)+1-MAX(0,ROUNDUP((N$3-$E14)/7,0)))),IF($G14=101,(AND(EOMONTH(N$3,0)&gt;=MAX(N$3,$E14),EOMONTH(N$3,0)&lt;=IF($F14="",N$4,MIN(N$4,$F14)))*1+AND(EOMONTH(N$4,0)&lt;&gt;EOMONTH(N$3,0),EOMONTH(N$4,0)&gt;=MAX(N$3,$E14),EOMONTH(N$4,0)&lt;=IF($F14="",N$4,MIN(N$4,$F14)))*1),IF($G14=102,(AND(WORKDAY(EOMONTH(N$3,0)+1,-3)&gt;=MAX(N$3,$E14),WORKDAY(EOMONTH(N$3,0)+1,-3)&lt;=IF($F14="",N$4,MIN(N$4,$F14)))*1+AND(WORKDAY(EOMONTH(N$4,0)+1,-3)&lt;&gt;WORKDAY(EOMONTH(N$3,0)+1,-3),WORKDAY(EOMONTH(N$4,0)+1,-3)&gt;=MAX(N$3,$E14),WORKDAY(EOMONTH(N$4,0)+1,-3)&lt;=IF($F14="",N$4,MIN(N$4,$F14)))*1),IF(AND(IF(EDATE($E14,MAX(0,ROUNDUP(((YEAR(N$3)-YEAR($E14))*12+MONTH(N$3)-MONTH($E14))/$G14,0)*$G14))&lt;N$3,EDATE($E14,MAX(0,ROUNDUP(((YEAR(N$3)-YEAR($E14))*12+MONTH(N$3)-MONTH($E14))/$G14,0)*$G14)+$G14),EDATE($E14,MAX(0,ROUNDUP(((YEAR(N$3)-YEAR($E14))*12+MONTH(N$3)-MONTH($E14))/$G14,0)*$G14)))&gt;=N$3,IF(EDATE($E14,MAX(0,ROUNDUP(((YEAR(N$3)-YEAR($E14))*12+MONTH(N$3)-MONTH($E14))/$G14,0)*$G14))&lt;N$3,EDATE($E14,MAX(0,ROUNDUP(((YEAR(N$3)-YEAR($E14))*12+MONTH(N$3)-MONTH($E14))/$G14,0)*$G14)+$G14),EDATE($E14,MAX(0,ROUNDUP(((YEAR(N$3)-YEAR($E14))*12+MONTH(N$3)-MONTH($E14))/$G14,0)*$G14)))&lt;=IF($F14="",N$4,MIN(N$4,$F14))),1,0)))))</f>
        <v>0</v>
      </c>
      <c r="O14" s="25" t="n">
        <f aca="false">IF(OR($C14="",$C14=0,$E14="",$B14="",$G14=-2),0,$C14*IF($G14=0,IF(IF($F14="",O$4,MIN(O$4,$F14))&lt;$E14,0,MAX(0,INT((IF($F14="",O$4,MIN(O$4,$F14))-$E14)/7)+1-MAX(0,ROUNDUP((O$3-$E14)/7,0)))),IF($G14=101,(AND(EOMONTH(O$3,0)&gt;=MAX(O$3,$E14),EOMONTH(O$3,0)&lt;=IF($F14="",O$4,MIN(O$4,$F14)))*1+AND(EOMONTH(O$4,0)&lt;&gt;EOMONTH(O$3,0),EOMONTH(O$4,0)&gt;=MAX(O$3,$E14),EOMONTH(O$4,0)&lt;=IF($F14="",O$4,MIN(O$4,$F14)))*1),IF($G14=102,(AND(WORKDAY(EOMONTH(O$3,0)+1,-3)&gt;=MAX(O$3,$E14),WORKDAY(EOMONTH(O$3,0)+1,-3)&lt;=IF($F14="",O$4,MIN(O$4,$F14)))*1+AND(WORKDAY(EOMONTH(O$4,0)+1,-3)&lt;&gt;WORKDAY(EOMONTH(O$3,0)+1,-3),WORKDAY(EOMONTH(O$4,0)+1,-3)&gt;=MAX(O$3,$E14),WORKDAY(EOMONTH(O$4,0)+1,-3)&lt;=IF($F14="",O$4,MIN(O$4,$F14)))*1),IF(AND(IF(EDATE($E14,MAX(0,ROUNDUP(((YEAR(O$3)-YEAR($E14))*12+MONTH(O$3)-MONTH($E14))/$G14,0)*$G14))&lt;O$3,EDATE($E14,MAX(0,ROUNDUP(((YEAR(O$3)-YEAR($E14))*12+MONTH(O$3)-MONTH($E14))/$G14,0)*$G14)+$G14),EDATE($E14,MAX(0,ROUNDUP(((YEAR(O$3)-YEAR($E14))*12+MONTH(O$3)-MONTH($E14))/$G14,0)*$G14)))&gt;=O$3,IF(EDATE($E14,MAX(0,ROUNDUP(((YEAR(O$3)-YEAR($E14))*12+MONTH(O$3)-MONTH($E14))/$G14,0)*$G14))&lt;O$3,EDATE($E14,MAX(0,ROUNDUP(((YEAR(O$3)-YEAR($E14))*12+MONTH(O$3)-MONTH($E14))/$G14,0)*$G14)+$G14),EDATE($E14,MAX(0,ROUNDUP(((YEAR(O$3)-YEAR($E14))*12+MONTH(O$3)-MONTH($E14))/$G14,0)*$G14)))&lt;=IF($F14="",O$4,MIN(O$4,$F14))),1,0)))))</f>
        <v>0</v>
      </c>
      <c r="P14" s="25" t="n">
        <f aca="false">IF(OR($C14="",$C14=0,$E14="",$B14="",$G14=-2),0,$C14*IF($G14=0,IF(IF($F14="",P$4,MIN(P$4,$F14))&lt;$E14,0,MAX(0,INT((IF($F14="",P$4,MIN(P$4,$F14))-$E14)/7)+1-MAX(0,ROUNDUP((P$3-$E14)/7,0)))),IF($G14=101,(AND(EOMONTH(P$3,0)&gt;=MAX(P$3,$E14),EOMONTH(P$3,0)&lt;=IF($F14="",P$4,MIN(P$4,$F14)))*1+AND(EOMONTH(P$4,0)&lt;&gt;EOMONTH(P$3,0),EOMONTH(P$4,0)&gt;=MAX(P$3,$E14),EOMONTH(P$4,0)&lt;=IF($F14="",P$4,MIN(P$4,$F14)))*1),IF($G14=102,(AND(WORKDAY(EOMONTH(P$3,0)+1,-3)&gt;=MAX(P$3,$E14),WORKDAY(EOMONTH(P$3,0)+1,-3)&lt;=IF($F14="",P$4,MIN(P$4,$F14)))*1+AND(WORKDAY(EOMONTH(P$4,0)+1,-3)&lt;&gt;WORKDAY(EOMONTH(P$3,0)+1,-3),WORKDAY(EOMONTH(P$4,0)+1,-3)&gt;=MAX(P$3,$E14),WORKDAY(EOMONTH(P$4,0)+1,-3)&lt;=IF($F14="",P$4,MIN(P$4,$F14)))*1),IF(AND(IF(EDATE($E14,MAX(0,ROUNDUP(((YEAR(P$3)-YEAR($E14))*12+MONTH(P$3)-MONTH($E14))/$G14,0)*$G14))&lt;P$3,EDATE($E14,MAX(0,ROUNDUP(((YEAR(P$3)-YEAR($E14))*12+MONTH(P$3)-MONTH($E14))/$G14,0)*$G14)+$G14),EDATE($E14,MAX(0,ROUNDUP(((YEAR(P$3)-YEAR($E14))*12+MONTH(P$3)-MONTH($E14))/$G14,0)*$G14)))&gt;=P$3,IF(EDATE($E14,MAX(0,ROUNDUP(((YEAR(P$3)-YEAR($E14))*12+MONTH(P$3)-MONTH($E14))/$G14,0)*$G14))&lt;P$3,EDATE($E14,MAX(0,ROUNDUP(((YEAR(P$3)-YEAR($E14))*12+MONTH(P$3)-MONTH($E14))/$G14,0)*$G14)+$G14),EDATE($E14,MAX(0,ROUNDUP(((YEAR(P$3)-YEAR($E14))*12+MONTH(P$3)-MONTH($E14))/$G14,0)*$G14)))&lt;=IF($F14="",P$4,MIN(P$4,$F14))),1,0)))))</f>
        <v>0</v>
      </c>
      <c r="Q14" s="25" t="n">
        <f aca="false">IF(OR($C14="",$C14=0,$E14="",$B14="",$G14=-2),0,$C14*IF($G14=0,IF(IF($F14="",Q$4,MIN(Q$4,$F14))&lt;$E14,0,MAX(0,INT((IF($F14="",Q$4,MIN(Q$4,$F14))-$E14)/7)+1-MAX(0,ROUNDUP((Q$3-$E14)/7,0)))),IF($G14=101,(AND(EOMONTH(Q$3,0)&gt;=MAX(Q$3,$E14),EOMONTH(Q$3,0)&lt;=IF($F14="",Q$4,MIN(Q$4,$F14)))*1+AND(EOMONTH(Q$4,0)&lt;&gt;EOMONTH(Q$3,0),EOMONTH(Q$4,0)&gt;=MAX(Q$3,$E14),EOMONTH(Q$4,0)&lt;=IF($F14="",Q$4,MIN(Q$4,$F14)))*1),IF($G14=102,(AND(WORKDAY(EOMONTH(Q$3,0)+1,-3)&gt;=MAX(Q$3,$E14),WORKDAY(EOMONTH(Q$3,0)+1,-3)&lt;=IF($F14="",Q$4,MIN(Q$4,$F14)))*1+AND(WORKDAY(EOMONTH(Q$4,0)+1,-3)&lt;&gt;WORKDAY(EOMONTH(Q$3,0)+1,-3),WORKDAY(EOMONTH(Q$4,0)+1,-3)&gt;=MAX(Q$3,$E14),WORKDAY(EOMONTH(Q$4,0)+1,-3)&lt;=IF($F14="",Q$4,MIN(Q$4,$F14)))*1),IF(AND(IF(EDATE($E14,MAX(0,ROUNDUP(((YEAR(Q$3)-YEAR($E14))*12+MONTH(Q$3)-MONTH($E14))/$G14,0)*$G14))&lt;Q$3,EDATE($E14,MAX(0,ROUNDUP(((YEAR(Q$3)-YEAR($E14))*12+MONTH(Q$3)-MONTH($E14))/$G14,0)*$G14)+$G14),EDATE($E14,MAX(0,ROUNDUP(((YEAR(Q$3)-YEAR($E14))*12+MONTH(Q$3)-MONTH($E14))/$G14,0)*$G14)))&gt;=Q$3,IF(EDATE($E14,MAX(0,ROUNDUP(((YEAR(Q$3)-YEAR($E14))*12+MONTH(Q$3)-MONTH($E14))/$G14,0)*$G14))&lt;Q$3,EDATE($E14,MAX(0,ROUNDUP(((YEAR(Q$3)-YEAR($E14))*12+MONTH(Q$3)-MONTH($E14))/$G14,0)*$G14)+$G14),EDATE($E14,MAX(0,ROUNDUP(((YEAR(Q$3)-YEAR($E14))*12+MONTH(Q$3)-MONTH($E14))/$G14,0)*$G14)))&lt;=IF($F14="",Q$4,MIN(Q$4,$F14))),1,0)))))</f>
        <v>0</v>
      </c>
      <c r="R14" s="25" t="n">
        <f aca="false">IF(OR($C14="",$C14=0,$E14="",$B14="",$G14=-2),0,$C14*IF($G14=0,IF(IF($F14="",R$4,MIN(R$4,$F14))&lt;$E14,0,MAX(0,INT((IF($F14="",R$4,MIN(R$4,$F14))-$E14)/7)+1-MAX(0,ROUNDUP((R$3-$E14)/7,0)))),IF($G14=101,(AND(EOMONTH(R$3,0)&gt;=MAX(R$3,$E14),EOMONTH(R$3,0)&lt;=IF($F14="",R$4,MIN(R$4,$F14)))*1+AND(EOMONTH(R$4,0)&lt;&gt;EOMONTH(R$3,0),EOMONTH(R$4,0)&gt;=MAX(R$3,$E14),EOMONTH(R$4,0)&lt;=IF($F14="",R$4,MIN(R$4,$F14)))*1),IF($G14=102,(AND(WORKDAY(EOMONTH(R$3,0)+1,-3)&gt;=MAX(R$3,$E14),WORKDAY(EOMONTH(R$3,0)+1,-3)&lt;=IF($F14="",R$4,MIN(R$4,$F14)))*1+AND(WORKDAY(EOMONTH(R$4,0)+1,-3)&lt;&gt;WORKDAY(EOMONTH(R$3,0)+1,-3),WORKDAY(EOMONTH(R$4,0)+1,-3)&gt;=MAX(R$3,$E14),WORKDAY(EOMONTH(R$4,0)+1,-3)&lt;=IF($F14="",R$4,MIN(R$4,$F14)))*1),IF(AND(IF(EDATE($E14,MAX(0,ROUNDUP(((YEAR(R$3)-YEAR($E14))*12+MONTH(R$3)-MONTH($E14))/$G14,0)*$G14))&lt;R$3,EDATE($E14,MAX(0,ROUNDUP(((YEAR(R$3)-YEAR($E14))*12+MONTH(R$3)-MONTH($E14))/$G14,0)*$G14)+$G14),EDATE($E14,MAX(0,ROUNDUP(((YEAR(R$3)-YEAR($E14))*12+MONTH(R$3)-MONTH($E14))/$G14,0)*$G14)))&gt;=R$3,IF(EDATE($E14,MAX(0,ROUNDUP(((YEAR(R$3)-YEAR($E14))*12+MONTH(R$3)-MONTH($E14))/$G14,0)*$G14))&lt;R$3,EDATE($E14,MAX(0,ROUNDUP(((YEAR(R$3)-YEAR($E14))*12+MONTH(R$3)-MONTH($E14))/$G14,0)*$G14)+$G14),EDATE($E14,MAX(0,ROUNDUP(((YEAR(R$3)-YEAR($E14))*12+MONTH(R$3)-MONTH($E14))/$G14,0)*$G14)))&lt;=IF($F14="",R$4,MIN(R$4,$F14))),1,0)))))</f>
        <v>0</v>
      </c>
      <c r="S14" s="25" t="n">
        <f aca="false">IF(OR($C14="",$C14=0,$E14="",$B14="",$G14=-2),0,$C14*IF($G14=0,IF(IF($F14="",S$4,MIN(S$4,$F14))&lt;$E14,0,MAX(0,INT((IF($F14="",S$4,MIN(S$4,$F14))-$E14)/7)+1-MAX(0,ROUNDUP((S$3-$E14)/7,0)))),IF($G14=101,(AND(EOMONTH(S$3,0)&gt;=MAX(S$3,$E14),EOMONTH(S$3,0)&lt;=IF($F14="",S$4,MIN(S$4,$F14)))*1+AND(EOMONTH(S$4,0)&lt;&gt;EOMONTH(S$3,0),EOMONTH(S$4,0)&gt;=MAX(S$3,$E14),EOMONTH(S$4,0)&lt;=IF($F14="",S$4,MIN(S$4,$F14)))*1),IF($G14=102,(AND(WORKDAY(EOMONTH(S$3,0)+1,-3)&gt;=MAX(S$3,$E14),WORKDAY(EOMONTH(S$3,0)+1,-3)&lt;=IF($F14="",S$4,MIN(S$4,$F14)))*1+AND(WORKDAY(EOMONTH(S$4,0)+1,-3)&lt;&gt;WORKDAY(EOMONTH(S$3,0)+1,-3),WORKDAY(EOMONTH(S$4,0)+1,-3)&gt;=MAX(S$3,$E14),WORKDAY(EOMONTH(S$4,0)+1,-3)&lt;=IF($F14="",S$4,MIN(S$4,$F14)))*1),IF(AND(IF(EDATE($E14,MAX(0,ROUNDUP(((YEAR(S$3)-YEAR($E14))*12+MONTH(S$3)-MONTH($E14))/$G14,0)*$G14))&lt;S$3,EDATE($E14,MAX(0,ROUNDUP(((YEAR(S$3)-YEAR($E14))*12+MONTH(S$3)-MONTH($E14))/$G14,0)*$G14)+$G14),EDATE($E14,MAX(0,ROUNDUP(((YEAR(S$3)-YEAR($E14))*12+MONTH(S$3)-MONTH($E14))/$G14,0)*$G14)))&gt;=S$3,IF(EDATE($E14,MAX(0,ROUNDUP(((YEAR(S$3)-YEAR($E14))*12+MONTH(S$3)-MONTH($E14))/$G14,0)*$G14))&lt;S$3,EDATE($E14,MAX(0,ROUNDUP(((YEAR(S$3)-YEAR($E14))*12+MONTH(S$3)-MONTH($E14))/$G14,0)*$G14)+$G14),EDATE($E14,MAX(0,ROUNDUP(((YEAR(S$3)-YEAR($E14))*12+MONTH(S$3)-MONTH($E14))/$G14,0)*$G14)))&lt;=IF($F14="",S$4,MIN(S$4,$F14))),1,0)))))</f>
        <v>0</v>
      </c>
      <c r="T14" s="25" t="n">
        <f aca="false">IF(OR($C14="",$C14=0,$E14="",$B14="",$G14=-2),0,$C14*IF($G14=0,IF(IF($F14="",T$4,MIN(T$4,$F14))&lt;$E14,0,MAX(0,INT((IF($F14="",T$4,MIN(T$4,$F14))-$E14)/7)+1-MAX(0,ROUNDUP((T$3-$E14)/7,0)))),IF($G14=101,(AND(EOMONTH(T$3,0)&gt;=MAX(T$3,$E14),EOMONTH(T$3,0)&lt;=IF($F14="",T$4,MIN(T$4,$F14)))*1+AND(EOMONTH(T$4,0)&lt;&gt;EOMONTH(T$3,0),EOMONTH(T$4,0)&gt;=MAX(T$3,$E14),EOMONTH(T$4,0)&lt;=IF($F14="",T$4,MIN(T$4,$F14)))*1),IF($G14=102,(AND(WORKDAY(EOMONTH(T$3,0)+1,-3)&gt;=MAX(T$3,$E14),WORKDAY(EOMONTH(T$3,0)+1,-3)&lt;=IF($F14="",T$4,MIN(T$4,$F14)))*1+AND(WORKDAY(EOMONTH(T$4,0)+1,-3)&lt;&gt;WORKDAY(EOMONTH(T$3,0)+1,-3),WORKDAY(EOMONTH(T$4,0)+1,-3)&gt;=MAX(T$3,$E14),WORKDAY(EOMONTH(T$4,0)+1,-3)&lt;=IF($F14="",T$4,MIN(T$4,$F14)))*1),IF(AND(IF(EDATE($E14,MAX(0,ROUNDUP(((YEAR(T$3)-YEAR($E14))*12+MONTH(T$3)-MONTH($E14))/$G14,0)*$G14))&lt;T$3,EDATE($E14,MAX(0,ROUNDUP(((YEAR(T$3)-YEAR($E14))*12+MONTH(T$3)-MONTH($E14))/$G14,0)*$G14)+$G14),EDATE($E14,MAX(0,ROUNDUP(((YEAR(T$3)-YEAR($E14))*12+MONTH(T$3)-MONTH($E14))/$G14,0)*$G14)))&gt;=T$3,IF(EDATE($E14,MAX(0,ROUNDUP(((YEAR(T$3)-YEAR($E14))*12+MONTH(T$3)-MONTH($E14))/$G14,0)*$G14))&lt;T$3,EDATE($E14,MAX(0,ROUNDUP(((YEAR(T$3)-YEAR($E14))*12+MONTH(T$3)-MONTH($E14))/$G14,0)*$G14)+$G14),EDATE($E14,MAX(0,ROUNDUP(((YEAR(T$3)-YEAR($E14))*12+MONTH(T$3)-MONTH($E14))/$G14,0)*$G14)))&lt;=IF($F14="",T$4,MIN(T$4,$F14))),1,0)))))</f>
        <v>0</v>
      </c>
      <c r="U14" s="25" t="n">
        <f aca="false">IF(OR($C14="",$C14=0,$E14="",$B14="",$G14=-2),0,$C14*IF($G14=0,IF(IF($F14="",U$4,MIN(U$4,$F14))&lt;$E14,0,MAX(0,INT((IF($F14="",U$4,MIN(U$4,$F14))-$E14)/7)+1-MAX(0,ROUNDUP((U$3-$E14)/7,0)))),IF($G14=101,(AND(EOMONTH(U$3,0)&gt;=MAX(U$3,$E14),EOMONTH(U$3,0)&lt;=IF($F14="",U$4,MIN(U$4,$F14)))*1+AND(EOMONTH(U$4,0)&lt;&gt;EOMONTH(U$3,0),EOMONTH(U$4,0)&gt;=MAX(U$3,$E14),EOMONTH(U$4,0)&lt;=IF($F14="",U$4,MIN(U$4,$F14)))*1),IF($G14=102,(AND(WORKDAY(EOMONTH(U$3,0)+1,-3)&gt;=MAX(U$3,$E14),WORKDAY(EOMONTH(U$3,0)+1,-3)&lt;=IF($F14="",U$4,MIN(U$4,$F14)))*1+AND(WORKDAY(EOMONTH(U$4,0)+1,-3)&lt;&gt;WORKDAY(EOMONTH(U$3,0)+1,-3),WORKDAY(EOMONTH(U$4,0)+1,-3)&gt;=MAX(U$3,$E14),WORKDAY(EOMONTH(U$4,0)+1,-3)&lt;=IF($F14="",U$4,MIN(U$4,$F14)))*1),IF(AND(IF(EDATE($E14,MAX(0,ROUNDUP(((YEAR(U$3)-YEAR($E14))*12+MONTH(U$3)-MONTH($E14))/$G14,0)*$G14))&lt;U$3,EDATE($E14,MAX(0,ROUNDUP(((YEAR(U$3)-YEAR($E14))*12+MONTH(U$3)-MONTH($E14))/$G14,0)*$G14)+$G14),EDATE($E14,MAX(0,ROUNDUP(((YEAR(U$3)-YEAR($E14))*12+MONTH(U$3)-MONTH($E14))/$G14,0)*$G14)))&gt;=U$3,IF(EDATE($E14,MAX(0,ROUNDUP(((YEAR(U$3)-YEAR($E14))*12+MONTH(U$3)-MONTH($E14))/$G14,0)*$G14))&lt;U$3,EDATE($E14,MAX(0,ROUNDUP(((YEAR(U$3)-YEAR($E14))*12+MONTH(U$3)-MONTH($E14))/$G14,0)*$G14)+$G14),EDATE($E14,MAX(0,ROUNDUP(((YEAR(U$3)-YEAR($E14))*12+MONTH(U$3)-MONTH($E14))/$G14,0)*$G14)))&lt;=IF($F14="",U$4,MIN(U$4,$F14))),1,0)))))</f>
        <v>0</v>
      </c>
      <c r="V14" s="25" t="n">
        <f aca="false">IF(OR($C14="",$C14=0,$E14="",$B14="",$G14=-2),0,$C14*IF($G14=0,IF(IF($F14="",V$4,MIN(V$4,$F14))&lt;$E14,0,MAX(0,INT((IF($F14="",V$4,MIN(V$4,$F14))-$E14)/7)+1-MAX(0,ROUNDUP((V$3-$E14)/7,0)))),IF($G14=101,(AND(EOMONTH(V$3,0)&gt;=MAX(V$3,$E14),EOMONTH(V$3,0)&lt;=IF($F14="",V$4,MIN(V$4,$F14)))*1+AND(EOMONTH(V$4,0)&lt;&gt;EOMONTH(V$3,0),EOMONTH(V$4,0)&gt;=MAX(V$3,$E14),EOMONTH(V$4,0)&lt;=IF($F14="",V$4,MIN(V$4,$F14)))*1),IF($G14=102,(AND(WORKDAY(EOMONTH(V$3,0)+1,-3)&gt;=MAX(V$3,$E14),WORKDAY(EOMONTH(V$3,0)+1,-3)&lt;=IF($F14="",V$4,MIN(V$4,$F14)))*1+AND(WORKDAY(EOMONTH(V$4,0)+1,-3)&lt;&gt;WORKDAY(EOMONTH(V$3,0)+1,-3),WORKDAY(EOMONTH(V$4,0)+1,-3)&gt;=MAX(V$3,$E14),WORKDAY(EOMONTH(V$4,0)+1,-3)&lt;=IF($F14="",V$4,MIN(V$4,$F14)))*1),IF(AND(IF(EDATE($E14,MAX(0,ROUNDUP(((YEAR(V$3)-YEAR($E14))*12+MONTH(V$3)-MONTH($E14))/$G14,0)*$G14))&lt;V$3,EDATE($E14,MAX(0,ROUNDUP(((YEAR(V$3)-YEAR($E14))*12+MONTH(V$3)-MONTH($E14))/$G14,0)*$G14)+$G14),EDATE($E14,MAX(0,ROUNDUP(((YEAR(V$3)-YEAR($E14))*12+MONTH(V$3)-MONTH($E14))/$G14,0)*$G14)))&gt;=V$3,IF(EDATE($E14,MAX(0,ROUNDUP(((YEAR(V$3)-YEAR($E14))*12+MONTH(V$3)-MONTH($E14))/$G14,0)*$G14))&lt;V$3,EDATE($E14,MAX(0,ROUNDUP(((YEAR(V$3)-YEAR($E14))*12+MONTH(V$3)-MONTH($E14))/$G14,0)*$G14)+$G14),EDATE($E14,MAX(0,ROUNDUP(((YEAR(V$3)-YEAR($E14))*12+MONTH(V$3)-MONTH($E14))/$G14,0)*$G14)))&lt;=IF($F14="",V$4,MIN(V$4,$F14))),1,0)))))</f>
        <v>0</v>
      </c>
      <c r="W14" s="25" t="n">
        <f aca="false">IF(OR($C14="",$C14=0,$E14="",$B14="",$G14=-2),0,$C14*IF($G14=0,IF(IF($F14="",W$4,MIN(W$4,$F14))&lt;$E14,0,MAX(0,INT((IF($F14="",W$4,MIN(W$4,$F14))-$E14)/7)+1-MAX(0,ROUNDUP((W$3-$E14)/7,0)))),IF($G14=101,(AND(EOMONTH(W$3,0)&gt;=MAX(W$3,$E14),EOMONTH(W$3,0)&lt;=IF($F14="",W$4,MIN(W$4,$F14)))*1+AND(EOMONTH(W$4,0)&lt;&gt;EOMONTH(W$3,0),EOMONTH(W$4,0)&gt;=MAX(W$3,$E14),EOMONTH(W$4,0)&lt;=IF($F14="",W$4,MIN(W$4,$F14)))*1),IF($G14=102,(AND(WORKDAY(EOMONTH(W$3,0)+1,-3)&gt;=MAX(W$3,$E14),WORKDAY(EOMONTH(W$3,0)+1,-3)&lt;=IF($F14="",W$4,MIN(W$4,$F14)))*1+AND(WORKDAY(EOMONTH(W$4,0)+1,-3)&lt;&gt;WORKDAY(EOMONTH(W$3,0)+1,-3),WORKDAY(EOMONTH(W$4,0)+1,-3)&gt;=MAX(W$3,$E14),WORKDAY(EOMONTH(W$4,0)+1,-3)&lt;=IF($F14="",W$4,MIN(W$4,$F14)))*1),IF(AND(IF(EDATE($E14,MAX(0,ROUNDUP(((YEAR(W$3)-YEAR($E14))*12+MONTH(W$3)-MONTH($E14))/$G14,0)*$G14))&lt;W$3,EDATE($E14,MAX(0,ROUNDUP(((YEAR(W$3)-YEAR($E14))*12+MONTH(W$3)-MONTH($E14))/$G14,0)*$G14)+$G14),EDATE($E14,MAX(0,ROUNDUP(((YEAR(W$3)-YEAR($E14))*12+MONTH(W$3)-MONTH($E14))/$G14,0)*$G14)))&gt;=W$3,IF(EDATE($E14,MAX(0,ROUNDUP(((YEAR(W$3)-YEAR($E14))*12+MONTH(W$3)-MONTH($E14))/$G14,0)*$G14))&lt;W$3,EDATE($E14,MAX(0,ROUNDUP(((YEAR(W$3)-YEAR($E14))*12+MONTH(W$3)-MONTH($E14))/$G14,0)*$G14)+$G14),EDATE($E14,MAX(0,ROUNDUP(((YEAR(W$3)-YEAR($E14))*12+MONTH(W$3)-MONTH($E14))/$G14,0)*$G14)))&lt;=IF($F14="",W$4,MIN(W$4,$F14))),1,0)))))</f>
        <v>0</v>
      </c>
      <c r="X14" s="25" t="n">
        <f aca="false">IF(OR($C14="",$C14=0,$E14="",$B14="",$G14=-2),0,$C14*IF($G14=0,IF(IF($F14="",X$4,MIN(X$4,$F14))&lt;$E14,0,MAX(0,INT((IF($F14="",X$4,MIN(X$4,$F14))-$E14)/7)+1-MAX(0,ROUNDUP((X$3-$E14)/7,0)))),IF($G14=101,(AND(EOMONTH(X$3,0)&gt;=MAX(X$3,$E14),EOMONTH(X$3,0)&lt;=IF($F14="",X$4,MIN(X$4,$F14)))*1+AND(EOMONTH(X$4,0)&lt;&gt;EOMONTH(X$3,0),EOMONTH(X$4,0)&gt;=MAX(X$3,$E14),EOMONTH(X$4,0)&lt;=IF($F14="",X$4,MIN(X$4,$F14)))*1),IF($G14=102,(AND(WORKDAY(EOMONTH(X$3,0)+1,-3)&gt;=MAX(X$3,$E14),WORKDAY(EOMONTH(X$3,0)+1,-3)&lt;=IF($F14="",X$4,MIN(X$4,$F14)))*1+AND(WORKDAY(EOMONTH(X$4,0)+1,-3)&lt;&gt;WORKDAY(EOMONTH(X$3,0)+1,-3),WORKDAY(EOMONTH(X$4,0)+1,-3)&gt;=MAX(X$3,$E14),WORKDAY(EOMONTH(X$4,0)+1,-3)&lt;=IF($F14="",X$4,MIN(X$4,$F14)))*1),IF(AND(IF(EDATE($E14,MAX(0,ROUNDUP(((YEAR(X$3)-YEAR($E14))*12+MONTH(X$3)-MONTH($E14))/$G14,0)*$G14))&lt;X$3,EDATE($E14,MAX(0,ROUNDUP(((YEAR(X$3)-YEAR($E14))*12+MONTH(X$3)-MONTH($E14))/$G14,0)*$G14)+$G14),EDATE($E14,MAX(0,ROUNDUP(((YEAR(X$3)-YEAR($E14))*12+MONTH(X$3)-MONTH($E14))/$G14,0)*$G14)))&gt;=X$3,IF(EDATE($E14,MAX(0,ROUNDUP(((YEAR(X$3)-YEAR($E14))*12+MONTH(X$3)-MONTH($E14))/$G14,0)*$G14))&lt;X$3,EDATE($E14,MAX(0,ROUNDUP(((YEAR(X$3)-YEAR($E14))*12+MONTH(X$3)-MONTH($E14))/$G14,0)*$G14)+$G14),EDATE($E14,MAX(0,ROUNDUP(((YEAR(X$3)-YEAR($E14))*12+MONTH(X$3)-MONTH($E14))/$G14,0)*$G14)))&lt;=IF($F14="",X$4,MIN(X$4,$F14))),1,0)))))</f>
        <v>0</v>
      </c>
      <c r="Y14" s="25" t="n">
        <f aca="false">IF(OR($C14="",$C14=0,$E14="",$B14="",$G14=-2),0,$C14*IF($G14=0,IF(IF($F14="",Y$4,MIN(Y$4,$F14))&lt;$E14,0,MAX(0,INT((IF($F14="",Y$4,MIN(Y$4,$F14))-$E14)/7)+1-MAX(0,ROUNDUP((Y$3-$E14)/7,0)))),IF($G14=101,(AND(EOMONTH(Y$3,0)&gt;=MAX(Y$3,$E14),EOMONTH(Y$3,0)&lt;=IF($F14="",Y$4,MIN(Y$4,$F14)))*1+AND(EOMONTH(Y$4,0)&lt;&gt;EOMONTH(Y$3,0),EOMONTH(Y$4,0)&gt;=MAX(Y$3,$E14),EOMONTH(Y$4,0)&lt;=IF($F14="",Y$4,MIN(Y$4,$F14)))*1),IF($G14=102,(AND(WORKDAY(EOMONTH(Y$3,0)+1,-3)&gt;=MAX(Y$3,$E14),WORKDAY(EOMONTH(Y$3,0)+1,-3)&lt;=IF($F14="",Y$4,MIN(Y$4,$F14)))*1+AND(WORKDAY(EOMONTH(Y$4,0)+1,-3)&lt;&gt;WORKDAY(EOMONTH(Y$3,0)+1,-3),WORKDAY(EOMONTH(Y$4,0)+1,-3)&gt;=MAX(Y$3,$E14),WORKDAY(EOMONTH(Y$4,0)+1,-3)&lt;=IF($F14="",Y$4,MIN(Y$4,$F14)))*1),IF(AND(IF(EDATE($E14,MAX(0,ROUNDUP(((YEAR(Y$3)-YEAR($E14))*12+MONTH(Y$3)-MONTH($E14))/$G14,0)*$G14))&lt;Y$3,EDATE($E14,MAX(0,ROUNDUP(((YEAR(Y$3)-YEAR($E14))*12+MONTH(Y$3)-MONTH($E14))/$G14,0)*$G14)+$G14),EDATE($E14,MAX(0,ROUNDUP(((YEAR(Y$3)-YEAR($E14))*12+MONTH(Y$3)-MONTH($E14))/$G14,0)*$G14)))&gt;=Y$3,IF(EDATE($E14,MAX(0,ROUNDUP(((YEAR(Y$3)-YEAR($E14))*12+MONTH(Y$3)-MONTH($E14))/$G14,0)*$G14))&lt;Y$3,EDATE($E14,MAX(0,ROUNDUP(((YEAR(Y$3)-YEAR($E14))*12+MONTH(Y$3)-MONTH($E14))/$G14,0)*$G14)+$G14),EDATE($E14,MAX(0,ROUNDUP(((YEAR(Y$3)-YEAR($E14))*12+MONTH(Y$3)-MONTH($E14))/$G14,0)*$G14)))&lt;=IF($F14="",Y$4,MIN(Y$4,$F14))),1,0)))))</f>
        <v>0</v>
      </c>
      <c r="Z14" s="25" t="n">
        <f aca="false">IF(OR($C14="",$C14=0,$E14="",$B14="",$G14=-2),0,$C14*IF($G14=0,IF(IF($F14="",Z$4,MIN(Z$4,$F14))&lt;$E14,0,MAX(0,INT((IF($F14="",Z$4,MIN(Z$4,$F14))-$E14)/7)+1-MAX(0,ROUNDUP((Z$3-$E14)/7,0)))),IF($G14=101,(AND(EOMONTH(Z$3,0)&gt;=MAX(Z$3,$E14),EOMONTH(Z$3,0)&lt;=IF($F14="",Z$4,MIN(Z$4,$F14)))*1+AND(EOMONTH(Z$4,0)&lt;&gt;EOMONTH(Z$3,0),EOMONTH(Z$4,0)&gt;=MAX(Z$3,$E14),EOMONTH(Z$4,0)&lt;=IF($F14="",Z$4,MIN(Z$4,$F14)))*1),IF($G14=102,(AND(WORKDAY(EOMONTH(Z$3,0)+1,-3)&gt;=MAX(Z$3,$E14),WORKDAY(EOMONTH(Z$3,0)+1,-3)&lt;=IF($F14="",Z$4,MIN(Z$4,$F14)))*1+AND(WORKDAY(EOMONTH(Z$4,0)+1,-3)&lt;&gt;WORKDAY(EOMONTH(Z$3,0)+1,-3),WORKDAY(EOMONTH(Z$4,0)+1,-3)&gt;=MAX(Z$3,$E14),WORKDAY(EOMONTH(Z$4,0)+1,-3)&lt;=IF($F14="",Z$4,MIN(Z$4,$F14)))*1),IF(AND(IF(EDATE($E14,MAX(0,ROUNDUP(((YEAR(Z$3)-YEAR($E14))*12+MONTH(Z$3)-MONTH($E14))/$G14,0)*$G14))&lt;Z$3,EDATE($E14,MAX(0,ROUNDUP(((YEAR(Z$3)-YEAR($E14))*12+MONTH(Z$3)-MONTH($E14))/$G14,0)*$G14)+$G14),EDATE($E14,MAX(0,ROUNDUP(((YEAR(Z$3)-YEAR($E14))*12+MONTH(Z$3)-MONTH($E14))/$G14,0)*$G14)))&gt;=Z$3,IF(EDATE($E14,MAX(0,ROUNDUP(((YEAR(Z$3)-YEAR($E14))*12+MONTH(Z$3)-MONTH($E14))/$G14,0)*$G14))&lt;Z$3,EDATE($E14,MAX(0,ROUNDUP(((YEAR(Z$3)-YEAR($E14))*12+MONTH(Z$3)-MONTH($E14))/$G14,0)*$G14)+$G14),EDATE($E14,MAX(0,ROUNDUP(((YEAR(Z$3)-YEAR($E14))*12+MONTH(Z$3)-MONTH($E14))/$G14,0)*$G14)))&lt;=IF($F14="",Z$4,MIN(Z$4,$F14))),1,0)))))</f>
        <v>0</v>
      </c>
      <c r="AA14" s="25" t="n">
        <f aca="false">IF(OR($C14="",$C14=0,$E14="",$B14="",$G14=-2),0,$C14*IF($G14=0,IF(IF($F14="",AA$4,MIN(AA$4,$F14))&lt;$E14,0,MAX(0,INT((IF($F14="",AA$4,MIN(AA$4,$F14))-$E14)/7)+1-MAX(0,ROUNDUP((AA$3-$E14)/7,0)))),IF($G14=101,(AND(EOMONTH(AA$3,0)&gt;=MAX(AA$3,$E14),EOMONTH(AA$3,0)&lt;=IF($F14="",AA$4,MIN(AA$4,$F14)))*1+AND(EOMONTH(AA$4,0)&lt;&gt;EOMONTH(AA$3,0),EOMONTH(AA$4,0)&gt;=MAX(AA$3,$E14),EOMONTH(AA$4,0)&lt;=IF($F14="",AA$4,MIN(AA$4,$F14)))*1),IF($G14=102,(AND(WORKDAY(EOMONTH(AA$3,0)+1,-3)&gt;=MAX(AA$3,$E14),WORKDAY(EOMONTH(AA$3,0)+1,-3)&lt;=IF($F14="",AA$4,MIN(AA$4,$F14)))*1+AND(WORKDAY(EOMONTH(AA$4,0)+1,-3)&lt;&gt;WORKDAY(EOMONTH(AA$3,0)+1,-3),WORKDAY(EOMONTH(AA$4,0)+1,-3)&gt;=MAX(AA$3,$E14),WORKDAY(EOMONTH(AA$4,0)+1,-3)&lt;=IF($F14="",AA$4,MIN(AA$4,$F14)))*1),IF(AND(IF(EDATE($E14,MAX(0,ROUNDUP(((YEAR(AA$3)-YEAR($E14))*12+MONTH(AA$3)-MONTH($E14))/$G14,0)*$G14))&lt;AA$3,EDATE($E14,MAX(0,ROUNDUP(((YEAR(AA$3)-YEAR($E14))*12+MONTH(AA$3)-MONTH($E14))/$G14,0)*$G14)+$G14),EDATE($E14,MAX(0,ROUNDUP(((YEAR(AA$3)-YEAR($E14))*12+MONTH(AA$3)-MONTH($E14))/$G14,0)*$G14)))&gt;=AA$3,IF(EDATE($E14,MAX(0,ROUNDUP(((YEAR(AA$3)-YEAR($E14))*12+MONTH(AA$3)-MONTH($E14))/$G14,0)*$G14))&lt;AA$3,EDATE($E14,MAX(0,ROUNDUP(((YEAR(AA$3)-YEAR($E14))*12+MONTH(AA$3)-MONTH($E14))/$G14,0)*$G14)+$G14),EDATE($E14,MAX(0,ROUNDUP(((YEAR(AA$3)-YEAR($E14))*12+MONTH(AA$3)-MONTH($E14))/$G14,0)*$G14)))&lt;=IF($F14="",AA$4,MIN(AA$4,$F14))),1,0)))))</f>
        <v>0</v>
      </c>
      <c r="AB14" s="25" t="n">
        <f aca="false">IF(OR($C14="",$C14=0,$E14="",$B14="",$G14=-2),0,$C14*IF($G14=0,IF(IF($F14="",AB$4,MIN(AB$4,$F14))&lt;$E14,0,MAX(0,INT((IF($F14="",AB$4,MIN(AB$4,$F14))-$E14)/7)+1-MAX(0,ROUNDUP((AB$3-$E14)/7,0)))),IF($G14=101,(AND(EOMONTH(AB$3,0)&gt;=MAX(AB$3,$E14),EOMONTH(AB$3,0)&lt;=IF($F14="",AB$4,MIN(AB$4,$F14)))*1+AND(EOMONTH(AB$4,0)&lt;&gt;EOMONTH(AB$3,0),EOMONTH(AB$4,0)&gt;=MAX(AB$3,$E14),EOMONTH(AB$4,0)&lt;=IF($F14="",AB$4,MIN(AB$4,$F14)))*1),IF($G14=102,(AND(WORKDAY(EOMONTH(AB$3,0)+1,-3)&gt;=MAX(AB$3,$E14),WORKDAY(EOMONTH(AB$3,0)+1,-3)&lt;=IF($F14="",AB$4,MIN(AB$4,$F14)))*1+AND(WORKDAY(EOMONTH(AB$4,0)+1,-3)&lt;&gt;WORKDAY(EOMONTH(AB$3,0)+1,-3),WORKDAY(EOMONTH(AB$4,0)+1,-3)&gt;=MAX(AB$3,$E14),WORKDAY(EOMONTH(AB$4,0)+1,-3)&lt;=IF($F14="",AB$4,MIN(AB$4,$F14)))*1),IF(AND(IF(EDATE($E14,MAX(0,ROUNDUP(((YEAR(AB$3)-YEAR($E14))*12+MONTH(AB$3)-MONTH($E14))/$G14,0)*$G14))&lt;AB$3,EDATE($E14,MAX(0,ROUNDUP(((YEAR(AB$3)-YEAR($E14))*12+MONTH(AB$3)-MONTH($E14))/$G14,0)*$G14)+$G14),EDATE($E14,MAX(0,ROUNDUP(((YEAR(AB$3)-YEAR($E14))*12+MONTH(AB$3)-MONTH($E14))/$G14,0)*$G14)))&gt;=AB$3,IF(EDATE($E14,MAX(0,ROUNDUP(((YEAR(AB$3)-YEAR($E14))*12+MONTH(AB$3)-MONTH($E14))/$G14,0)*$G14))&lt;AB$3,EDATE($E14,MAX(0,ROUNDUP(((YEAR(AB$3)-YEAR($E14))*12+MONTH(AB$3)-MONTH($E14))/$G14,0)*$G14)+$G14),EDATE($E14,MAX(0,ROUNDUP(((YEAR(AB$3)-YEAR($E14))*12+MONTH(AB$3)-MONTH($E14))/$G14,0)*$G14)))&lt;=IF($F14="",AB$4,MIN(AB$4,$F14))),1,0)))))</f>
        <v>0</v>
      </c>
      <c r="AC14" s="25" t="n">
        <f aca="false">IF(OR($C14="",$C14=0,$E14="",$B14="",$G14=-2),0,$C14*IF($G14=0,IF(IF($F14="",AC$4,MIN(AC$4,$F14))&lt;$E14,0,MAX(0,INT((IF($F14="",AC$4,MIN(AC$4,$F14))-$E14)/7)+1-MAX(0,ROUNDUP((AC$3-$E14)/7,0)))),IF($G14=101,(AND(EOMONTH(AC$3,0)&gt;=MAX(AC$3,$E14),EOMONTH(AC$3,0)&lt;=IF($F14="",AC$4,MIN(AC$4,$F14)))*1+AND(EOMONTH(AC$4,0)&lt;&gt;EOMONTH(AC$3,0),EOMONTH(AC$4,0)&gt;=MAX(AC$3,$E14),EOMONTH(AC$4,0)&lt;=IF($F14="",AC$4,MIN(AC$4,$F14)))*1),IF($G14=102,(AND(WORKDAY(EOMONTH(AC$3,0)+1,-3)&gt;=MAX(AC$3,$E14),WORKDAY(EOMONTH(AC$3,0)+1,-3)&lt;=IF($F14="",AC$4,MIN(AC$4,$F14)))*1+AND(WORKDAY(EOMONTH(AC$4,0)+1,-3)&lt;&gt;WORKDAY(EOMONTH(AC$3,0)+1,-3),WORKDAY(EOMONTH(AC$4,0)+1,-3)&gt;=MAX(AC$3,$E14),WORKDAY(EOMONTH(AC$4,0)+1,-3)&lt;=IF($F14="",AC$4,MIN(AC$4,$F14)))*1),IF(AND(IF(EDATE($E14,MAX(0,ROUNDUP(((YEAR(AC$3)-YEAR($E14))*12+MONTH(AC$3)-MONTH($E14))/$G14,0)*$G14))&lt;AC$3,EDATE($E14,MAX(0,ROUNDUP(((YEAR(AC$3)-YEAR($E14))*12+MONTH(AC$3)-MONTH($E14))/$G14,0)*$G14)+$G14),EDATE($E14,MAX(0,ROUNDUP(((YEAR(AC$3)-YEAR($E14))*12+MONTH(AC$3)-MONTH($E14))/$G14,0)*$G14)))&gt;=AC$3,IF(EDATE($E14,MAX(0,ROUNDUP(((YEAR(AC$3)-YEAR($E14))*12+MONTH(AC$3)-MONTH($E14))/$G14,0)*$G14))&lt;AC$3,EDATE($E14,MAX(0,ROUNDUP(((YEAR(AC$3)-YEAR($E14))*12+MONTH(AC$3)-MONTH($E14))/$G14,0)*$G14)+$G14),EDATE($E14,MAX(0,ROUNDUP(((YEAR(AC$3)-YEAR($E14))*12+MONTH(AC$3)-MONTH($E14))/$G14,0)*$G14)))&lt;=IF($F14="",AC$4,MIN(AC$4,$F14))),1,0)))))</f>
        <v>0</v>
      </c>
      <c r="AD14" s="25" t="n">
        <f aca="false">IF(OR($C14="",$C14=0,$E14="",$B14="",$G14=-2),0,$C14*IF($G14=0,IF(IF($F14="",AD$4,MIN(AD$4,$F14))&lt;$E14,0,MAX(0,INT((IF($F14="",AD$4,MIN(AD$4,$F14))-$E14)/7)+1-MAX(0,ROUNDUP((AD$3-$E14)/7,0)))),IF($G14=101,(AND(EOMONTH(AD$3,0)&gt;=MAX(AD$3,$E14),EOMONTH(AD$3,0)&lt;=IF($F14="",AD$4,MIN(AD$4,$F14)))*1+AND(EOMONTH(AD$4,0)&lt;&gt;EOMONTH(AD$3,0),EOMONTH(AD$4,0)&gt;=MAX(AD$3,$E14),EOMONTH(AD$4,0)&lt;=IF($F14="",AD$4,MIN(AD$4,$F14)))*1),IF($G14=102,(AND(WORKDAY(EOMONTH(AD$3,0)+1,-3)&gt;=MAX(AD$3,$E14),WORKDAY(EOMONTH(AD$3,0)+1,-3)&lt;=IF($F14="",AD$4,MIN(AD$4,$F14)))*1+AND(WORKDAY(EOMONTH(AD$4,0)+1,-3)&lt;&gt;WORKDAY(EOMONTH(AD$3,0)+1,-3),WORKDAY(EOMONTH(AD$4,0)+1,-3)&gt;=MAX(AD$3,$E14),WORKDAY(EOMONTH(AD$4,0)+1,-3)&lt;=IF($F14="",AD$4,MIN(AD$4,$F14)))*1),IF(AND(IF(EDATE($E14,MAX(0,ROUNDUP(((YEAR(AD$3)-YEAR($E14))*12+MONTH(AD$3)-MONTH($E14))/$G14,0)*$G14))&lt;AD$3,EDATE($E14,MAX(0,ROUNDUP(((YEAR(AD$3)-YEAR($E14))*12+MONTH(AD$3)-MONTH($E14))/$G14,0)*$G14)+$G14),EDATE($E14,MAX(0,ROUNDUP(((YEAR(AD$3)-YEAR($E14))*12+MONTH(AD$3)-MONTH($E14))/$G14,0)*$G14)))&gt;=AD$3,IF(EDATE($E14,MAX(0,ROUNDUP(((YEAR(AD$3)-YEAR($E14))*12+MONTH(AD$3)-MONTH($E14))/$G14,0)*$G14))&lt;AD$3,EDATE($E14,MAX(0,ROUNDUP(((YEAR(AD$3)-YEAR($E14))*12+MONTH(AD$3)-MONTH($E14))/$G14,0)*$G14)+$G14),EDATE($E14,MAX(0,ROUNDUP(((YEAR(AD$3)-YEAR($E14))*12+MONTH(AD$3)-MONTH($E14))/$G14,0)*$G14)))&lt;=IF($F14="",AD$4,MIN(AD$4,$F14))),1,0)))))</f>
        <v>0</v>
      </c>
      <c r="AE14" s="25" t="n">
        <f aca="false">IF(OR($C14="",$C14=0,$E14="",$B14="",$G14=-2),0,$C14*IF($G14=0,IF(IF($F14="",AE$4,MIN(AE$4,$F14))&lt;$E14,0,MAX(0,INT((IF($F14="",AE$4,MIN(AE$4,$F14))-$E14)/7)+1-MAX(0,ROUNDUP((AE$3-$E14)/7,0)))),IF($G14=101,(AND(EOMONTH(AE$3,0)&gt;=MAX(AE$3,$E14),EOMONTH(AE$3,0)&lt;=IF($F14="",AE$4,MIN(AE$4,$F14)))*1+AND(EOMONTH(AE$4,0)&lt;&gt;EOMONTH(AE$3,0),EOMONTH(AE$4,0)&gt;=MAX(AE$3,$E14),EOMONTH(AE$4,0)&lt;=IF($F14="",AE$4,MIN(AE$4,$F14)))*1),IF($G14=102,(AND(WORKDAY(EOMONTH(AE$3,0)+1,-3)&gt;=MAX(AE$3,$E14),WORKDAY(EOMONTH(AE$3,0)+1,-3)&lt;=IF($F14="",AE$4,MIN(AE$4,$F14)))*1+AND(WORKDAY(EOMONTH(AE$4,0)+1,-3)&lt;&gt;WORKDAY(EOMONTH(AE$3,0)+1,-3),WORKDAY(EOMONTH(AE$4,0)+1,-3)&gt;=MAX(AE$3,$E14),WORKDAY(EOMONTH(AE$4,0)+1,-3)&lt;=IF($F14="",AE$4,MIN(AE$4,$F14)))*1),IF(AND(IF(EDATE($E14,MAX(0,ROUNDUP(((YEAR(AE$3)-YEAR($E14))*12+MONTH(AE$3)-MONTH($E14))/$G14,0)*$G14))&lt;AE$3,EDATE($E14,MAX(0,ROUNDUP(((YEAR(AE$3)-YEAR($E14))*12+MONTH(AE$3)-MONTH($E14))/$G14,0)*$G14)+$G14),EDATE($E14,MAX(0,ROUNDUP(((YEAR(AE$3)-YEAR($E14))*12+MONTH(AE$3)-MONTH($E14))/$G14,0)*$G14)))&gt;=AE$3,IF(EDATE($E14,MAX(0,ROUNDUP(((YEAR(AE$3)-YEAR($E14))*12+MONTH(AE$3)-MONTH($E14))/$G14,0)*$G14))&lt;AE$3,EDATE($E14,MAX(0,ROUNDUP(((YEAR(AE$3)-YEAR($E14))*12+MONTH(AE$3)-MONTH($E14))/$G14,0)*$G14)+$G14),EDATE($E14,MAX(0,ROUNDUP(((YEAR(AE$3)-YEAR($E14))*12+MONTH(AE$3)-MONTH($E14))/$G14,0)*$G14)))&lt;=IF($F14="",AE$4,MIN(AE$4,$F14))),1,0)))))</f>
        <v>0</v>
      </c>
      <c r="AF14" s="25" t="n">
        <f aca="false">IF(OR($C14="",$C14=0,$E14="",$B14="",$G14=-2),0,$C14*IF($G14=0,IF(IF($F14="",AF$4,MIN(AF$4,$F14))&lt;$E14,0,MAX(0,INT((IF($F14="",AF$4,MIN(AF$4,$F14))-$E14)/7)+1-MAX(0,ROUNDUP((AF$3-$E14)/7,0)))),IF($G14=101,(AND(EOMONTH(AF$3,0)&gt;=MAX(AF$3,$E14),EOMONTH(AF$3,0)&lt;=IF($F14="",AF$4,MIN(AF$4,$F14)))*1+AND(EOMONTH(AF$4,0)&lt;&gt;EOMONTH(AF$3,0),EOMONTH(AF$4,0)&gt;=MAX(AF$3,$E14),EOMONTH(AF$4,0)&lt;=IF($F14="",AF$4,MIN(AF$4,$F14)))*1),IF($G14=102,(AND(WORKDAY(EOMONTH(AF$3,0)+1,-3)&gt;=MAX(AF$3,$E14),WORKDAY(EOMONTH(AF$3,0)+1,-3)&lt;=IF($F14="",AF$4,MIN(AF$4,$F14)))*1+AND(WORKDAY(EOMONTH(AF$4,0)+1,-3)&lt;&gt;WORKDAY(EOMONTH(AF$3,0)+1,-3),WORKDAY(EOMONTH(AF$4,0)+1,-3)&gt;=MAX(AF$3,$E14),WORKDAY(EOMONTH(AF$4,0)+1,-3)&lt;=IF($F14="",AF$4,MIN(AF$4,$F14)))*1),IF(AND(IF(EDATE($E14,MAX(0,ROUNDUP(((YEAR(AF$3)-YEAR($E14))*12+MONTH(AF$3)-MONTH($E14))/$G14,0)*$G14))&lt;AF$3,EDATE($E14,MAX(0,ROUNDUP(((YEAR(AF$3)-YEAR($E14))*12+MONTH(AF$3)-MONTH($E14))/$G14,0)*$G14)+$G14),EDATE($E14,MAX(0,ROUNDUP(((YEAR(AF$3)-YEAR($E14))*12+MONTH(AF$3)-MONTH($E14))/$G14,0)*$G14)))&gt;=AF$3,IF(EDATE($E14,MAX(0,ROUNDUP(((YEAR(AF$3)-YEAR($E14))*12+MONTH(AF$3)-MONTH($E14))/$G14,0)*$G14))&lt;AF$3,EDATE($E14,MAX(0,ROUNDUP(((YEAR(AF$3)-YEAR($E14))*12+MONTH(AF$3)-MONTH($E14))/$G14,0)*$G14)+$G14),EDATE($E14,MAX(0,ROUNDUP(((YEAR(AF$3)-YEAR($E14))*12+MONTH(AF$3)-MONTH($E14))/$G14,0)*$G14)))&lt;=IF($F14="",AF$4,MIN(AF$4,$F14))),1,0)))))</f>
        <v>0</v>
      </c>
    </row>
    <row r="15" customFormat="false" ht="15" hidden="false" customHeight="false" outlineLevel="0" collapsed="false">
      <c r="A15" s="5"/>
      <c r="B15" s="5"/>
      <c r="C15" s="8"/>
      <c r="D15" s="5"/>
      <c r="E15" s="7"/>
      <c r="F15" s="7"/>
      <c r="G15" s="24" t="n">
        <f aca="false">IFERROR(INDEX(Listen!$E$2:$E$8,MATCH(D15,Listen!$D$2:$D$8,0)),-2)</f>
        <v>-2</v>
      </c>
      <c r="H15" s="25" t="n">
        <f aca="false">IF(OR($C15="",$C15=0,$E15="",$B15="",$G15=-2),0,$C15*IF($G15=0,IF(IF($F15="",H$4,MIN(H$4,$F15))&lt;$E15,0,MAX(0,INT((IF($F15="",H$4,MIN(H$4,$F15))-$E15)/7)+1-MAX(0,ROUNDUP((H$3-$E15)/7,0)))),IF($G15=101,(AND(EOMONTH(H$3,0)&gt;=MAX(H$3,$E15),EOMONTH(H$3,0)&lt;=IF($F15="",H$4,MIN(H$4,$F15)))*1+AND(EOMONTH(H$4,0)&lt;&gt;EOMONTH(H$3,0),EOMONTH(H$4,0)&gt;=MAX(H$3,$E15),EOMONTH(H$4,0)&lt;=IF($F15="",H$4,MIN(H$4,$F15)))*1),IF($G15=102,(AND(WORKDAY(EOMONTH(H$3,0)+1,-3)&gt;=MAX(H$3,$E15),WORKDAY(EOMONTH(H$3,0)+1,-3)&lt;=IF($F15="",H$4,MIN(H$4,$F15)))*1+AND(WORKDAY(EOMONTH(H$4,0)+1,-3)&lt;&gt;WORKDAY(EOMONTH(H$3,0)+1,-3),WORKDAY(EOMONTH(H$4,0)+1,-3)&gt;=MAX(H$3,$E15),WORKDAY(EOMONTH(H$4,0)+1,-3)&lt;=IF($F15="",H$4,MIN(H$4,$F15)))*1),IF(AND(IF(EDATE($E15,MAX(0,ROUNDUP(((YEAR(H$3)-YEAR($E15))*12+MONTH(H$3)-MONTH($E15))/$G15,0)*$G15))&lt;H$3,EDATE($E15,MAX(0,ROUNDUP(((YEAR(H$3)-YEAR($E15))*12+MONTH(H$3)-MONTH($E15))/$G15,0)*$G15)+$G15),EDATE($E15,MAX(0,ROUNDUP(((YEAR(H$3)-YEAR($E15))*12+MONTH(H$3)-MONTH($E15))/$G15,0)*$G15)))&gt;=H$3,IF(EDATE($E15,MAX(0,ROUNDUP(((YEAR(H$3)-YEAR($E15))*12+MONTH(H$3)-MONTH($E15))/$G15,0)*$G15))&lt;H$3,EDATE($E15,MAX(0,ROUNDUP(((YEAR(H$3)-YEAR($E15))*12+MONTH(H$3)-MONTH($E15))/$G15,0)*$G15)+$G15),EDATE($E15,MAX(0,ROUNDUP(((YEAR(H$3)-YEAR($E15))*12+MONTH(H$3)-MONTH($E15))/$G15,0)*$G15)))&lt;=IF($F15="",H$4,MIN(H$4,$F15))),1,0)))))</f>
        <v>0</v>
      </c>
      <c r="I15" s="25" t="n">
        <f aca="false">IF(OR($C15="",$C15=0,$E15="",$B15="",$G15=-2),0,$C15*IF($G15=0,IF(IF($F15="",I$4,MIN(I$4,$F15))&lt;$E15,0,MAX(0,INT((IF($F15="",I$4,MIN(I$4,$F15))-$E15)/7)+1-MAX(0,ROUNDUP((I$3-$E15)/7,0)))),IF($G15=101,(AND(EOMONTH(I$3,0)&gt;=MAX(I$3,$E15),EOMONTH(I$3,0)&lt;=IF($F15="",I$4,MIN(I$4,$F15)))*1+AND(EOMONTH(I$4,0)&lt;&gt;EOMONTH(I$3,0),EOMONTH(I$4,0)&gt;=MAX(I$3,$E15),EOMONTH(I$4,0)&lt;=IF($F15="",I$4,MIN(I$4,$F15)))*1),IF($G15=102,(AND(WORKDAY(EOMONTH(I$3,0)+1,-3)&gt;=MAX(I$3,$E15),WORKDAY(EOMONTH(I$3,0)+1,-3)&lt;=IF($F15="",I$4,MIN(I$4,$F15)))*1+AND(WORKDAY(EOMONTH(I$4,0)+1,-3)&lt;&gt;WORKDAY(EOMONTH(I$3,0)+1,-3),WORKDAY(EOMONTH(I$4,0)+1,-3)&gt;=MAX(I$3,$E15),WORKDAY(EOMONTH(I$4,0)+1,-3)&lt;=IF($F15="",I$4,MIN(I$4,$F15)))*1),IF(AND(IF(EDATE($E15,MAX(0,ROUNDUP(((YEAR(I$3)-YEAR($E15))*12+MONTH(I$3)-MONTH($E15))/$G15,0)*$G15))&lt;I$3,EDATE($E15,MAX(0,ROUNDUP(((YEAR(I$3)-YEAR($E15))*12+MONTH(I$3)-MONTH($E15))/$G15,0)*$G15)+$G15),EDATE($E15,MAX(0,ROUNDUP(((YEAR(I$3)-YEAR($E15))*12+MONTH(I$3)-MONTH($E15))/$G15,0)*$G15)))&gt;=I$3,IF(EDATE($E15,MAX(0,ROUNDUP(((YEAR(I$3)-YEAR($E15))*12+MONTH(I$3)-MONTH($E15))/$G15,0)*$G15))&lt;I$3,EDATE($E15,MAX(0,ROUNDUP(((YEAR(I$3)-YEAR($E15))*12+MONTH(I$3)-MONTH($E15))/$G15,0)*$G15)+$G15),EDATE($E15,MAX(0,ROUNDUP(((YEAR(I$3)-YEAR($E15))*12+MONTH(I$3)-MONTH($E15))/$G15,0)*$G15)))&lt;=IF($F15="",I$4,MIN(I$4,$F15))),1,0)))))</f>
        <v>0</v>
      </c>
      <c r="J15" s="25" t="n">
        <f aca="false">IF(OR($C15="",$C15=0,$E15="",$B15="",$G15=-2),0,$C15*IF($G15=0,IF(IF($F15="",J$4,MIN(J$4,$F15))&lt;$E15,0,MAX(0,INT((IF($F15="",J$4,MIN(J$4,$F15))-$E15)/7)+1-MAX(0,ROUNDUP((J$3-$E15)/7,0)))),IF($G15=101,(AND(EOMONTH(J$3,0)&gt;=MAX(J$3,$E15),EOMONTH(J$3,0)&lt;=IF($F15="",J$4,MIN(J$4,$F15)))*1+AND(EOMONTH(J$4,0)&lt;&gt;EOMONTH(J$3,0),EOMONTH(J$4,0)&gt;=MAX(J$3,$E15),EOMONTH(J$4,0)&lt;=IF($F15="",J$4,MIN(J$4,$F15)))*1),IF($G15=102,(AND(WORKDAY(EOMONTH(J$3,0)+1,-3)&gt;=MAX(J$3,$E15),WORKDAY(EOMONTH(J$3,0)+1,-3)&lt;=IF($F15="",J$4,MIN(J$4,$F15)))*1+AND(WORKDAY(EOMONTH(J$4,0)+1,-3)&lt;&gt;WORKDAY(EOMONTH(J$3,0)+1,-3),WORKDAY(EOMONTH(J$4,0)+1,-3)&gt;=MAX(J$3,$E15),WORKDAY(EOMONTH(J$4,0)+1,-3)&lt;=IF($F15="",J$4,MIN(J$4,$F15)))*1),IF(AND(IF(EDATE($E15,MAX(0,ROUNDUP(((YEAR(J$3)-YEAR($E15))*12+MONTH(J$3)-MONTH($E15))/$G15,0)*$G15))&lt;J$3,EDATE($E15,MAX(0,ROUNDUP(((YEAR(J$3)-YEAR($E15))*12+MONTH(J$3)-MONTH($E15))/$G15,0)*$G15)+$G15),EDATE($E15,MAX(0,ROUNDUP(((YEAR(J$3)-YEAR($E15))*12+MONTH(J$3)-MONTH($E15))/$G15,0)*$G15)))&gt;=J$3,IF(EDATE($E15,MAX(0,ROUNDUP(((YEAR(J$3)-YEAR($E15))*12+MONTH(J$3)-MONTH($E15))/$G15,0)*$G15))&lt;J$3,EDATE($E15,MAX(0,ROUNDUP(((YEAR(J$3)-YEAR($E15))*12+MONTH(J$3)-MONTH($E15))/$G15,0)*$G15)+$G15),EDATE($E15,MAX(0,ROUNDUP(((YEAR(J$3)-YEAR($E15))*12+MONTH(J$3)-MONTH($E15))/$G15,0)*$G15)))&lt;=IF($F15="",J$4,MIN(J$4,$F15))),1,0)))))</f>
        <v>0</v>
      </c>
      <c r="K15" s="25" t="n">
        <f aca="false">IF(OR($C15="",$C15=0,$E15="",$B15="",$G15=-2),0,$C15*IF($G15=0,IF(IF($F15="",K$4,MIN(K$4,$F15))&lt;$E15,0,MAX(0,INT((IF($F15="",K$4,MIN(K$4,$F15))-$E15)/7)+1-MAX(0,ROUNDUP((K$3-$E15)/7,0)))),IF($G15=101,(AND(EOMONTH(K$3,0)&gt;=MAX(K$3,$E15),EOMONTH(K$3,0)&lt;=IF($F15="",K$4,MIN(K$4,$F15)))*1+AND(EOMONTH(K$4,0)&lt;&gt;EOMONTH(K$3,0),EOMONTH(K$4,0)&gt;=MAX(K$3,$E15),EOMONTH(K$4,0)&lt;=IF($F15="",K$4,MIN(K$4,$F15)))*1),IF($G15=102,(AND(WORKDAY(EOMONTH(K$3,0)+1,-3)&gt;=MAX(K$3,$E15),WORKDAY(EOMONTH(K$3,0)+1,-3)&lt;=IF($F15="",K$4,MIN(K$4,$F15)))*1+AND(WORKDAY(EOMONTH(K$4,0)+1,-3)&lt;&gt;WORKDAY(EOMONTH(K$3,0)+1,-3),WORKDAY(EOMONTH(K$4,0)+1,-3)&gt;=MAX(K$3,$E15),WORKDAY(EOMONTH(K$4,0)+1,-3)&lt;=IF($F15="",K$4,MIN(K$4,$F15)))*1),IF(AND(IF(EDATE($E15,MAX(0,ROUNDUP(((YEAR(K$3)-YEAR($E15))*12+MONTH(K$3)-MONTH($E15))/$G15,0)*$G15))&lt;K$3,EDATE($E15,MAX(0,ROUNDUP(((YEAR(K$3)-YEAR($E15))*12+MONTH(K$3)-MONTH($E15))/$G15,0)*$G15)+$G15),EDATE($E15,MAX(0,ROUNDUP(((YEAR(K$3)-YEAR($E15))*12+MONTH(K$3)-MONTH($E15))/$G15,0)*$G15)))&gt;=K$3,IF(EDATE($E15,MAX(0,ROUNDUP(((YEAR(K$3)-YEAR($E15))*12+MONTH(K$3)-MONTH($E15))/$G15,0)*$G15))&lt;K$3,EDATE($E15,MAX(0,ROUNDUP(((YEAR(K$3)-YEAR($E15))*12+MONTH(K$3)-MONTH($E15))/$G15,0)*$G15)+$G15),EDATE($E15,MAX(0,ROUNDUP(((YEAR(K$3)-YEAR($E15))*12+MONTH(K$3)-MONTH($E15))/$G15,0)*$G15)))&lt;=IF($F15="",K$4,MIN(K$4,$F15))),1,0)))))</f>
        <v>0</v>
      </c>
      <c r="L15" s="25" t="n">
        <f aca="false">IF(OR($C15="",$C15=0,$E15="",$B15="",$G15=-2),0,$C15*IF($G15=0,IF(IF($F15="",L$4,MIN(L$4,$F15))&lt;$E15,0,MAX(0,INT((IF($F15="",L$4,MIN(L$4,$F15))-$E15)/7)+1-MAX(0,ROUNDUP((L$3-$E15)/7,0)))),IF($G15=101,(AND(EOMONTH(L$3,0)&gt;=MAX(L$3,$E15),EOMONTH(L$3,0)&lt;=IF($F15="",L$4,MIN(L$4,$F15)))*1+AND(EOMONTH(L$4,0)&lt;&gt;EOMONTH(L$3,0),EOMONTH(L$4,0)&gt;=MAX(L$3,$E15),EOMONTH(L$4,0)&lt;=IF($F15="",L$4,MIN(L$4,$F15)))*1),IF($G15=102,(AND(WORKDAY(EOMONTH(L$3,0)+1,-3)&gt;=MAX(L$3,$E15),WORKDAY(EOMONTH(L$3,0)+1,-3)&lt;=IF($F15="",L$4,MIN(L$4,$F15)))*1+AND(WORKDAY(EOMONTH(L$4,0)+1,-3)&lt;&gt;WORKDAY(EOMONTH(L$3,0)+1,-3),WORKDAY(EOMONTH(L$4,0)+1,-3)&gt;=MAX(L$3,$E15),WORKDAY(EOMONTH(L$4,0)+1,-3)&lt;=IF($F15="",L$4,MIN(L$4,$F15)))*1),IF(AND(IF(EDATE($E15,MAX(0,ROUNDUP(((YEAR(L$3)-YEAR($E15))*12+MONTH(L$3)-MONTH($E15))/$G15,0)*$G15))&lt;L$3,EDATE($E15,MAX(0,ROUNDUP(((YEAR(L$3)-YEAR($E15))*12+MONTH(L$3)-MONTH($E15))/$G15,0)*$G15)+$G15),EDATE($E15,MAX(0,ROUNDUP(((YEAR(L$3)-YEAR($E15))*12+MONTH(L$3)-MONTH($E15))/$G15,0)*$G15)))&gt;=L$3,IF(EDATE($E15,MAX(0,ROUNDUP(((YEAR(L$3)-YEAR($E15))*12+MONTH(L$3)-MONTH($E15))/$G15,0)*$G15))&lt;L$3,EDATE($E15,MAX(0,ROUNDUP(((YEAR(L$3)-YEAR($E15))*12+MONTH(L$3)-MONTH($E15))/$G15,0)*$G15)+$G15),EDATE($E15,MAX(0,ROUNDUP(((YEAR(L$3)-YEAR($E15))*12+MONTH(L$3)-MONTH($E15))/$G15,0)*$G15)))&lt;=IF($F15="",L$4,MIN(L$4,$F15))),1,0)))))</f>
        <v>0</v>
      </c>
      <c r="M15" s="25" t="n">
        <f aca="false">IF(OR($C15="",$C15=0,$E15="",$B15="",$G15=-2),0,$C15*IF($G15=0,IF(IF($F15="",M$4,MIN(M$4,$F15))&lt;$E15,0,MAX(0,INT((IF($F15="",M$4,MIN(M$4,$F15))-$E15)/7)+1-MAX(0,ROUNDUP((M$3-$E15)/7,0)))),IF($G15=101,(AND(EOMONTH(M$3,0)&gt;=MAX(M$3,$E15),EOMONTH(M$3,0)&lt;=IF($F15="",M$4,MIN(M$4,$F15)))*1+AND(EOMONTH(M$4,0)&lt;&gt;EOMONTH(M$3,0),EOMONTH(M$4,0)&gt;=MAX(M$3,$E15),EOMONTH(M$4,0)&lt;=IF($F15="",M$4,MIN(M$4,$F15)))*1),IF($G15=102,(AND(WORKDAY(EOMONTH(M$3,0)+1,-3)&gt;=MAX(M$3,$E15),WORKDAY(EOMONTH(M$3,0)+1,-3)&lt;=IF($F15="",M$4,MIN(M$4,$F15)))*1+AND(WORKDAY(EOMONTH(M$4,0)+1,-3)&lt;&gt;WORKDAY(EOMONTH(M$3,0)+1,-3),WORKDAY(EOMONTH(M$4,0)+1,-3)&gt;=MAX(M$3,$E15),WORKDAY(EOMONTH(M$4,0)+1,-3)&lt;=IF($F15="",M$4,MIN(M$4,$F15)))*1),IF(AND(IF(EDATE($E15,MAX(0,ROUNDUP(((YEAR(M$3)-YEAR($E15))*12+MONTH(M$3)-MONTH($E15))/$G15,0)*$G15))&lt;M$3,EDATE($E15,MAX(0,ROUNDUP(((YEAR(M$3)-YEAR($E15))*12+MONTH(M$3)-MONTH($E15))/$G15,0)*$G15)+$G15),EDATE($E15,MAX(0,ROUNDUP(((YEAR(M$3)-YEAR($E15))*12+MONTH(M$3)-MONTH($E15))/$G15,0)*$G15)))&gt;=M$3,IF(EDATE($E15,MAX(0,ROUNDUP(((YEAR(M$3)-YEAR($E15))*12+MONTH(M$3)-MONTH($E15))/$G15,0)*$G15))&lt;M$3,EDATE($E15,MAX(0,ROUNDUP(((YEAR(M$3)-YEAR($E15))*12+MONTH(M$3)-MONTH($E15))/$G15,0)*$G15)+$G15),EDATE($E15,MAX(0,ROUNDUP(((YEAR(M$3)-YEAR($E15))*12+MONTH(M$3)-MONTH($E15))/$G15,0)*$G15)))&lt;=IF($F15="",M$4,MIN(M$4,$F15))),1,0)))))</f>
        <v>0</v>
      </c>
      <c r="N15" s="25" t="n">
        <f aca="false">IF(OR($C15="",$C15=0,$E15="",$B15="",$G15=-2),0,$C15*IF($G15=0,IF(IF($F15="",N$4,MIN(N$4,$F15))&lt;$E15,0,MAX(0,INT((IF($F15="",N$4,MIN(N$4,$F15))-$E15)/7)+1-MAX(0,ROUNDUP((N$3-$E15)/7,0)))),IF($G15=101,(AND(EOMONTH(N$3,0)&gt;=MAX(N$3,$E15),EOMONTH(N$3,0)&lt;=IF($F15="",N$4,MIN(N$4,$F15)))*1+AND(EOMONTH(N$4,0)&lt;&gt;EOMONTH(N$3,0),EOMONTH(N$4,0)&gt;=MAX(N$3,$E15),EOMONTH(N$4,0)&lt;=IF($F15="",N$4,MIN(N$4,$F15)))*1),IF($G15=102,(AND(WORKDAY(EOMONTH(N$3,0)+1,-3)&gt;=MAX(N$3,$E15),WORKDAY(EOMONTH(N$3,0)+1,-3)&lt;=IF($F15="",N$4,MIN(N$4,$F15)))*1+AND(WORKDAY(EOMONTH(N$4,0)+1,-3)&lt;&gt;WORKDAY(EOMONTH(N$3,0)+1,-3),WORKDAY(EOMONTH(N$4,0)+1,-3)&gt;=MAX(N$3,$E15),WORKDAY(EOMONTH(N$4,0)+1,-3)&lt;=IF($F15="",N$4,MIN(N$4,$F15)))*1),IF(AND(IF(EDATE($E15,MAX(0,ROUNDUP(((YEAR(N$3)-YEAR($E15))*12+MONTH(N$3)-MONTH($E15))/$G15,0)*$G15))&lt;N$3,EDATE($E15,MAX(0,ROUNDUP(((YEAR(N$3)-YEAR($E15))*12+MONTH(N$3)-MONTH($E15))/$G15,0)*$G15)+$G15),EDATE($E15,MAX(0,ROUNDUP(((YEAR(N$3)-YEAR($E15))*12+MONTH(N$3)-MONTH($E15))/$G15,0)*$G15)))&gt;=N$3,IF(EDATE($E15,MAX(0,ROUNDUP(((YEAR(N$3)-YEAR($E15))*12+MONTH(N$3)-MONTH($E15))/$G15,0)*$G15))&lt;N$3,EDATE($E15,MAX(0,ROUNDUP(((YEAR(N$3)-YEAR($E15))*12+MONTH(N$3)-MONTH($E15))/$G15,0)*$G15)+$G15),EDATE($E15,MAX(0,ROUNDUP(((YEAR(N$3)-YEAR($E15))*12+MONTH(N$3)-MONTH($E15))/$G15,0)*$G15)))&lt;=IF($F15="",N$4,MIN(N$4,$F15))),1,0)))))</f>
        <v>0</v>
      </c>
      <c r="O15" s="25" t="n">
        <f aca="false">IF(OR($C15="",$C15=0,$E15="",$B15="",$G15=-2),0,$C15*IF($G15=0,IF(IF($F15="",O$4,MIN(O$4,$F15))&lt;$E15,0,MAX(0,INT((IF($F15="",O$4,MIN(O$4,$F15))-$E15)/7)+1-MAX(0,ROUNDUP((O$3-$E15)/7,0)))),IF($G15=101,(AND(EOMONTH(O$3,0)&gt;=MAX(O$3,$E15),EOMONTH(O$3,0)&lt;=IF($F15="",O$4,MIN(O$4,$F15)))*1+AND(EOMONTH(O$4,0)&lt;&gt;EOMONTH(O$3,0),EOMONTH(O$4,0)&gt;=MAX(O$3,$E15),EOMONTH(O$4,0)&lt;=IF($F15="",O$4,MIN(O$4,$F15)))*1),IF($G15=102,(AND(WORKDAY(EOMONTH(O$3,0)+1,-3)&gt;=MAX(O$3,$E15),WORKDAY(EOMONTH(O$3,0)+1,-3)&lt;=IF($F15="",O$4,MIN(O$4,$F15)))*1+AND(WORKDAY(EOMONTH(O$4,0)+1,-3)&lt;&gt;WORKDAY(EOMONTH(O$3,0)+1,-3),WORKDAY(EOMONTH(O$4,0)+1,-3)&gt;=MAX(O$3,$E15),WORKDAY(EOMONTH(O$4,0)+1,-3)&lt;=IF($F15="",O$4,MIN(O$4,$F15)))*1),IF(AND(IF(EDATE($E15,MAX(0,ROUNDUP(((YEAR(O$3)-YEAR($E15))*12+MONTH(O$3)-MONTH($E15))/$G15,0)*$G15))&lt;O$3,EDATE($E15,MAX(0,ROUNDUP(((YEAR(O$3)-YEAR($E15))*12+MONTH(O$3)-MONTH($E15))/$G15,0)*$G15)+$G15),EDATE($E15,MAX(0,ROUNDUP(((YEAR(O$3)-YEAR($E15))*12+MONTH(O$3)-MONTH($E15))/$G15,0)*$G15)))&gt;=O$3,IF(EDATE($E15,MAX(0,ROUNDUP(((YEAR(O$3)-YEAR($E15))*12+MONTH(O$3)-MONTH($E15))/$G15,0)*$G15))&lt;O$3,EDATE($E15,MAX(0,ROUNDUP(((YEAR(O$3)-YEAR($E15))*12+MONTH(O$3)-MONTH($E15))/$G15,0)*$G15)+$G15),EDATE($E15,MAX(0,ROUNDUP(((YEAR(O$3)-YEAR($E15))*12+MONTH(O$3)-MONTH($E15))/$G15,0)*$G15)))&lt;=IF($F15="",O$4,MIN(O$4,$F15))),1,0)))))</f>
        <v>0</v>
      </c>
      <c r="P15" s="25" t="n">
        <f aca="false">IF(OR($C15="",$C15=0,$E15="",$B15="",$G15=-2),0,$C15*IF($G15=0,IF(IF($F15="",P$4,MIN(P$4,$F15))&lt;$E15,0,MAX(0,INT((IF($F15="",P$4,MIN(P$4,$F15))-$E15)/7)+1-MAX(0,ROUNDUP((P$3-$E15)/7,0)))),IF($G15=101,(AND(EOMONTH(P$3,0)&gt;=MAX(P$3,$E15),EOMONTH(P$3,0)&lt;=IF($F15="",P$4,MIN(P$4,$F15)))*1+AND(EOMONTH(P$4,0)&lt;&gt;EOMONTH(P$3,0),EOMONTH(P$4,0)&gt;=MAX(P$3,$E15),EOMONTH(P$4,0)&lt;=IF($F15="",P$4,MIN(P$4,$F15)))*1),IF($G15=102,(AND(WORKDAY(EOMONTH(P$3,0)+1,-3)&gt;=MAX(P$3,$E15),WORKDAY(EOMONTH(P$3,0)+1,-3)&lt;=IF($F15="",P$4,MIN(P$4,$F15)))*1+AND(WORKDAY(EOMONTH(P$4,0)+1,-3)&lt;&gt;WORKDAY(EOMONTH(P$3,0)+1,-3),WORKDAY(EOMONTH(P$4,0)+1,-3)&gt;=MAX(P$3,$E15),WORKDAY(EOMONTH(P$4,0)+1,-3)&lt;=IF($F15="",P$4,MIN(P$4,$F15)))*1),IF(AND(IF(EDATE($E15,MAX(0,ROUNDUP(((YEAR(P$3)-YEAR($E15))*12+MONTH(P$3)-MONTH($E15))/$G15,0)*$G15))&lt;P$3,EDATE($E15,MAX(0,ROUNDUP(((YEAR(P$3)-YEAR($E15))*12+MONTH(P$3)-MONTH($E15))/$G15,0)*$G15)+$G15),EDATE($E15,MAX(0,ROUNDUP(((YEAR(P$3)-YEAR($E15))*12+MONTH(P$3)-MONTH($E15))/$G15,0)*$G15)))&gt;=P$3,IF(EDATE($E15,MAX(0,ROUNDUP(((YEAR(P$3)-YEAR($E15))*12+MONTH(P$3)-MONTH($E15))/$G15,0)*$G15))&lt;P$3,EDATE($E15,MAX(0,ROUNDUP(((YEAR(P$3)-YEAR($E15))*12+MONTH(P$3)-MONTH($E15))/$G15,0)*$G15)+$G15),EDATE($E15,MAX(0,ROUNDUP(((YEAR(P$3)-YEAR($E15))*12+MONTH(P$3)-MONTH($E15))/$G15,0)*$G15)))&lt;=IF($F15="",P$4,MIN(P$4,$F15))),1,0)))))</f>
        <v>0</v>
      </c>
      <c r="Q15" s="25" t="n">
        <f aca="false">IF(OR($C15="",$C15=0,$E15="",$B15="",$G15=-2),0,$C15*IF($G15=0,IF(IF($F15="",Q$4,MIN(Q$4,$F15))&lt;$E15,0,MAX(0,INT((IF($F15="",Q$4,MIN(Q$4,$F15))-$E15)/7)+1-MAX(0,ROUNDUP((Q$3-$E15)/7,0)))),IF($G15=101,(AND(EOMONTH(Q$3,0)&gt;=MAX(Q$3,$E15),EOMONTH(Q$3,0)&lt;=IF($F15="",Q$4,MIN(Q$4,$F15)))*1+AND(EOMONTH(Q$4,0)&lt;&gt;EOMONTH(Q$3,0),EOMONTH(Q$4,0)&gt;=MAX(Q$3,$E15),EOMONTH(Q$4,0)&lt;=IF($F15="",Q$4,MIN(Q$4,$F15)))*1),IF($G15=102,(AND(WORKDAY(EOMONTH(Q$3,0)+1,-3)&gt;=MAX(Q$3,$E15),WORKDAY(EOMONTH(Q$3,0)+1,-3)&lt;=IF($F15="",Q$4,MIN(Q$4,$F15)))*1+AND(WORKDAY(EOMONTH(Q$4,0)+1,-3)&lt;&gt;WORKDAY(EOMONTH(Q$3,0)+1,-3),WORKDAY(EOMONTH(Q$4,0)+1,-3)&gt;=MAX(Q$3,$E15),WORKDAY(EOMONTH(Q$4,0)+1,-3)&lt;=IF($F15="",Q$4,MIN(Q$4,$F15)))*1),IF(AND(IF(EDATE($E15,MAX(0,ROUNDUP(((YEAR(Q$3)-YEAR($E15))*12+MONTH(Q$3)-MONTH($E15))/$G15,0)*$G15))&lt;Q$3,EDATE($E15,MAX(0,ROUNDUP(((YEAR(Q$3)-YEAR($E15))*12+MONTH(Q$3)-MONTH($E15))/$G15,0)*$G15)+$G15),EDATE($E15,MAX(0,ROUNDUP(((YEAR(Q$3)-YEAR($E15))*12+MONTH(Q$3)-MONTH($E15))/$G15,0)*$G15)))&gt;=Q$3,IF(EDATE($E15,MAX(0,ROUNDUP(((YEAR(Q$3)-YEAR($E15))*12+MONTH(Q$3)-MONTH($E15))/$G15,0)*$G15))&lt;Q$3,EDATE($E15,MAX(0,ROUNDUP(((YEAR(Q$3)-YEAR($E15))*12+MONTH(Q$3)-MONTH($E15))/$G15,0)*$G15)+$G15),EDATE($E15,MAX(0,ROUNDUP(((YEAR(Q$3)-YEAR($E15))*12+MONTH(Q$3)-MONTH($E15))/$G15,0)*$G15)))&lt;=IF($F15="",Q$4,MIN(Q$4,$F15))),1,0)))))</f>
        <v>0</v>
      </c>
      <c r="R15" s="25" t="n">
        <f aca="false">IF(OR($C15="",$C15=0,$E15="",$B15="",$G15=-2),0,$C15*IF($G15=0,IF(IF($F15="",R$4,MIN(R$4,$F15))&lt;$E15,0,MAX(0,INT((IF($F15="",R$4,MIN(R$4,$F15))-$E15)/7)+1-MAX(0,ROUNDUP((R$3-$E15)/7,0)))),IF($G15=101,(AND(EOMONTH(R$3,0)&gt;=MAX(R$3,$E15),EOMONTH(R$3,0)&lt;=IF($F15="",R$4,MIN(R$4,$F15)))*1+AND(EOMONTH(R$4,0)&lt;&gt;EOMONTH(R$3,0),EOMONTH(R$4,0)&gt;=MAX(R$3,$E15),EOMONTH(R$4,0)&lt;=IF($F15="",R$4,MIN(R$4,$F15)))*1),IF($G15=102,(AND(WORKDAY(EOMONTH(R$3,0)+1,-3)&gt;=MAX(R$3,$E15),WORKDAY(EOMONTH(R$3,0)+1,-3)&lt;=IF($F15="",R$4,MIN(R$4,$F15)))*1+AND(WORKDAY(EOMONTH(R$4,0)+1,-3)&lt;&gt;WORKDAY(EOMONTH(R$3,0)+1,-3),WORKDAY(EOMONTH(R$4,0)+1,-3)&gt;=MAX(R$3,$E15),WORKDAY(EOMONTH(R$4,0)+1,-3)&lt;=IF($F15="",R$4,MIN(R$4,$F15)))*1),IF(AND(IF(EDATE($E15,MAX(0,ROUNDUP(((YEAR(R$3)-YEAR($E15))*12+MONTH(R$3)-MONTH($E15))/$G15,0)*$G15))&lt;R$3,EDATE($E15,MAX(0,ROUNDUP(((YEAR(R$3)-YEAR($E15))*12+MONTH(R$3)-MONTH($E15))/$G15,0)*$G15)+$G15),EDATE($E15,MAX(0,ROUNDUP(((YEAR(R$3)-YEAR($E15))*12+MONTH(R$3)-MONTH($E15))/$G15,0)*$G15)))&gt;=R$3,IF(EDATE($E15,MAX(0,ROUNDUP(((YEAR(R$3)-YEAR($E15))*12+MONTH(R$3)-MONTH($E15))/$G15,0)*$G15))&lt;R$3,EDATE($E15,MAX(0,ROUNDUP(((YEAR(R$3)-YEAR($E15))*12+MONTH(R$3)-MONTH($E15))/$G15,0)*$G15)+$G15),EDATE($E15,MAX(0,ROUNDUP(((YEAR(R$3)-YEAR($E15))*12+MONTH(R$3)-MONTH($E15))/$G15,0)*$G15)))&lt;=IF($F15="",R$4,MIN(R$4,$F15))),1,0)))))</f>
        <v>0</v>
      </c>
      <c r="S15" s="25" t="n">
        <f aca="false">IF(OR($C15="",$C15=0,$E15="",$B15="",$G15=-2),0,$C15*IF($G15=0,IF(IF($F15="",S$4,MIN(S$4,$F15))&lt;$E15,0,MAX(0,INT((IF($F15="",S$4,MIN(S$4,$F15))-$E15)/7)+1-MAX(0,ROUNDUP((S$3-$E15)/7,0)))),IF($G15=101,(AND(EOMONTH(S$3,0)&gt;=MAX(S$3,$E15),EOMONTH(S$3,0)&lt;=IF($F15="",S$4,MIN(S$4,$F15)))*1+AND(EOMONTH(S$4,0)&lt;&gt;EOMONTH(S$3,0),EOMONTH(S$4,0)&gt;=MAX(S$3,$E15),EOMONTH(S$4,0)&lt;=IF($F15="",S$4,MIN(S$4,$F15)))*1),IF($G15=102,(AND(WORKDAY(EOMONTH(S$3,0)+1,-3)&gt;=MAX(S$3,$E15),WORKDAY(EOMONTH(S$3,0)+1,-3)&lt;=IF($F15="",S$4,MIN(S$4,$F15)))*1+AND(WORKDAY(EOMONTH(S$4,0)+1,-3)&lt;&gt;WORKDAY(EOMONTH(S$3,0)+1,-3),WORKDAY(EOMONTH(S$4,0)+1,-3)&gt;=MAX(S$3,$E15),WORKDAY(EOMONTH(S$4,0)+1,-3)&lt;=IF($F15="",S$4,MIN(S$4,$F15)))*1),IF(AND(IF(EDATE($E15,MAX(0,ROUNDUP(((YEAR(S$3)-YEAR($E15))*12+MONTH(S$3)-MONTH($E15))/$G15,0)*$G15))&lt;S$3,EDATE($E15,MAX(0,ROUNDUP(((YEAR(S$3)-YEAR($E15))*12+MONTH(S$3)-MONTH($E15))/$G15,0)*$G15)+$G15),EDATE($E15,MAX(0,ROUNDUP(((YEAR(S$3)-YEAR($E15))*12+MONTH(S$3)-MONTH($E15))/$G15,0)*$G15)))&gt;=S$3,IF(EDATE($E15,MAX(0,ROUNDUP(((YEAR(S$3)-YEAR($E15))*12+MONTH(S$3)-MONTH($E15))/$G15,0)*$G15))&lt;S$3,EDATE($E15,MAX(0,ROUNDUP(((YEAR(S$3)-YEAR($E15))*12+MONTH(S$3)-MONTH($E15))/$G15,0)*$G15)+$G15),EDATE($E15,MAX(0,ROUNDUP(((YEAR(S$3)-YEAR($E15))*12+MONTH(S$3)-MONTH($E15))/$G15,0)*$G15)))&lt;=IF($F15="",S$4,MIN(S$4,$F15))),1,0)))))</f>
        <v>0</v>
      </c>
      <c r="T15" s="25" t="n">
        <f aca="false">IF(OR($C15="",$C15=0,$E15="",$B15="",$G15=-2),0,$C15*IF($G15=0,IF(IF($F15="",T$4,MIN(T$4,$F15))&lt;$E15,0,MAX(0,INT((IF($F15="",T$4,MIN(T$4,$F15))-$E15)/7)+1-MAX(0,ROUNDUP((T$3-$E15)/7,0)))),IF($G15=101,(AND(EOMONTH(T$3,0)&gt;=MAX(T$3,$E15),EOMONTH(T$3,0)&lt;=IF($F15="",T$4,MIN(T$4,$F15)))*1+AND(EOMONTH(T$4,0)&lt;&gt;EOMONTH(T$3,0),EOMONTH(T$4,0)&gt;=MAX(T$3,$E15),EOMONTH(T$4,0)&lt;=IF($F15="",T$4,MIN(T$4,$F15)))*1),IF($G15=102,(AND(WORKDAY(EOMONTH(T$3,0)+1,-3)&gt;=MAX(T$3,$E15),WORKDAY(EOMONTH(T$3,0)+1,-3)&lt;=IF($F15="",T$4,MIN(T$4,$F15)))*1+AND(WORKDAY(EOMONTH(T$4,0)+1,-3)&lt;&gt;WORKDAY(EOMONTH(T$3,0)+1,-3),WORKDAY(EOMONTH(T$4,0)+1,-3)&gt;=MAX(T$3,$E15),WORKDAY(EOMONTH(T$4,0)+1,-3)&lt;=IF($F15="",T$4,MIN(T$4,$F15)))*1),IF(AND(IF(EDATE($E15,MAX(0,ROUNDUP(((YEAR(T$3)-YEAR($E15))*12+MONTH(T$3)-MONTH($E15))/$G15,0)*$G15))&lt;T$3,EDATE($E15,MAX(0,ROUNDUP(((YEAR(T$3)-YEAR($E15))*12+MONTH(T$3)-MONTH($E15))/$G15,0)*$G15)+$G15),EDATE($E15,MAX(0,ROUNDUP(((YEAR(T$3)-YEAR($E15))*12+MONTH(T$3)-MONTH($E15))/$G15,0)*$G15)))&gt;=T$3,IF(EDATE($E15,MAX(0,ROUNDUP(((YEAR(T$3)-YEAR($E15))*12+MONTH(T$3)-MONTH($E15))/$G15,0)*$G15))&lt;T$3,EDATE($E15,MAX(0,ROUNDUP(((YEAR(T$3)-YEAR($E15))*12+MONTH(T$3)-MONTH($E15))/$G15,0)*$G15)+$G15),EDATE($E15,MAX(0,ROUNDUP(((YEAR(T$3)-YEAR($E15))*12+MONTH(T$3)-MONTH($E15))/$G15,0)*$G15)))&lt;=IF($F15="",T$4,MIN(T$4,$F15))),1,0)))))</f>
        <v>0</v>
      </c>
      <c r="U15" s="25" t="n">
        <f aca="false">IF(OR($C15="",$C15=0,$E15="",$B15="",$G15=-2),0,$C15*IF($G15=0,IF(IF($F15="",U$4,MIN(U$4,$F15))&lt;$E15,0,MAX(0,INT((IF($F15="",U$4,MIN(U$4,$F15))-$E15)/7)+1-MAX(0,ROUNDUP((U$3-$E15)/7,0)))),IF($G15=101,(AND(EOMONTH(U$3,0)&gt;=MAX(U$3,$E15),EOMONTH(U$3,0)&lt;=IF($F15="",U$4,MIN(U$4,$F15)))*1+AND(EOMONTH(U$4,0)&lt;&gt;EOMONTH(U$3,0),EOMONTH(U$4,0)&gt;=MAX(U$3,$E15),EOMONTH(U$4,0)&lt;=IF($F15="",U$4,MIN(U$4,$F15)))*1),IF($G15=102,(AND(WORKDAY(EOMONTH(U$3,0)+1,-3)&gt;=MAX(U$3,$E15),WORKDAY(EOMONTH(U$3,0)+1,-3)&lt;=IF($F15="",U$4,MIN(U$4,$F15)))*1+AND(WORKDAY(EOMONTH(U$4,0)+1,-3)&lt;&gt;WORKDAY(EOMONTH(U$3,0)+1,-3),WORKDAY(EOMONTH(U$4,0)+1,-3)&gt;=MAX(U$3,$E15),WORKDAY(EOMONTH(U$4,0)+1,-3)&lt;=IF($F15="",U$4,MIN(U$4,$F15)))*1),IF(AND(IF(EDATE($E15,MAX(0,ROUNDUP(((YEAR(U$3)-YEAR($E15))*12+MONTH(U$3)-MONTH($E15))/$G15,0)*$G15))&lt;U$3,EDATE($E15,MAX(0,ROUNDUP(((YEAR(U$3)-YEAR($E15))*12+MONTH(U$3)-MONTH($E15))/$G15,0)*$G15)+$G15),EDATE($E15,MAX(0,ROUNDUP(((YEAR(U$3)-YEAR($E15))*12+MONTH(U$3)-MONTH($E15))/$G15,0)*$G15)))&gt;=U$3,IF(EDATE($E15,MAX(0,ROUNDUP(((YEAR(U$3)-YEAR($E15))*12+MONTH(U$3)-MONTH($E15))/$G15,0)*$G15))&lt;U$3,EDATE($E15,MAX(0,ROUNDUP(((YEAR(U$3)-YEAR($E15))*12+MONTH(U$3)-MONTH($E15))/$G15,0)*$G15)+$G15),EDATE($E15,MAX(0,ROUNDUP(((YEAR(U$3)-YEAR($E15))*12+MONTH(U$3)-MONTH($E15))/$G15,0)*$G15)))&lt;=IF($F15="",U$4,MIN(U$4,$F15))),1,0)))))</f>
        <v>0</v>
      </c>
      <c r="V15" s="25" t="n">
        <f aca="false">IF(OR($C15="",$C15=0,$E15="",$B15="",$G15=-2),0,$C15*IF($G15=0,IF(IF($F15="",V$4,MIN(V$4,$F15))&lt;$E15,0,MAX(0,INT((IF($F15="",V$4,MIN(V$4,$F15))-$E15)/7)+1-MAX(0,ROUNDUP((V$3-$E15)/7,0)))),IF($G15=101,(AND(EOMONTH(V$3,0)&gt;=MAX(V$3,$E15),EOMONTH(V$3,0)&lt;=IF($F15="",V$4,MIN(V$4,$F15)))*1+AND(EOMONTH(V$4,0)&lt;&gt;EOMONTH(V$3,0),EOMONTH(V$4,0)&gt;=MAX(V$3,$E15),EOMONTH(V$4,0)&lt;=IF($F15="",V$4,MIN(V$4,$F15)))*1),IF($G15=102,(AND(WORKDAY(EOMONTH(V$3,0)+1,-3)&gt;=MAX(V$3,$E15),WORKDAY(EOMONTH(V$3,0)+1,-3)&lt;=IF($F15="",V$4,MIN(V$4,$F15)))*1+AND(WORKDAY(EOMONTH(V$4,0)+1,-3)&lt;&gt;WORKDAY(EOMONTH(V$3,0)+1,-3),WORKDAY(EOMONTH(V$4,0)+1,-3)&gt;=MAX(V$3,$E15),WORKDAY(EOMONTH(V$4,0)+1,-3)&lt;=IF($F15="",V$4,MIN(V$4,$F15)))*1),IF(AND(IF(EDATE($E15,MAX(0,ROUNDUP(((YEAR(V$3)-YEAR($E15))*12+MONTH(V$3)-MONTH($E15))/$G15,0)*$G15))&lt;V$3,EDATE($E15,MAX(0,ROUNDUP(((YEAR(V$3)-YEAR($E15))*12+MONTH(V$3)-MONTH($E15))/$G15,0)*$G15)+$G15),EDATE($E15,MAX(0,ROUNDUP(((YEAR(V$3)-YEAR($E15))*12+MONTH(V$3)-MONTH($E15))/$G15,0)*$G15)))&gt;=V$3,IF(EDATE($E15,MAX(0,ROUNDUP(((YEAR(V$3)-YEAR($E15))*12+MONTH(V$3)-MONTH($E15))/$G15,0)*$G15))&lt;V$3,EDATE($E15,MAX(0,ROUNDUP(((YEAR(V$3)-YEAR($E15))*12+MONTH(V$3)-MONTH($E15))/$G15,0)*$G15)+$G15),EDATE($E15,MAX(0,ROUNDUP(((YEAR(V$3)-YEAR($E15))*12+MONTH(V$3)-MONTH($E15))/$G15,0)*$G15)))&lt;=IF($F15="",V$4,MIN(V$4,$F15))),1,0)))))</f>
        <v>0</v>
      </c>
      <c r="W15" s="25" t="n">
        <f aca="false">IF(OR($C15="",$C15=0,$E15="",$B15="",$G15=-2),0,$C15*IF($G15=0,IF(IF($F15="",W$4,MIN(W$4,$F15))&lt;$E15,0,MAX(0,INT((IF($F15="",W$4,MIN(W$4,$F15))-$E15)/7)+1-MAX(0,ROUNDUP((W$3-$E15)/7,0)))),IF($G15=101,(AND(EOMONTH(W$3,0)&gt;=MAX(W$3,$E15),EOMONTH(W$3,0)&lt;=IF($F15="",W$4,MIN(W$4,$F15)))*1+AND(EOMONTH(W$4,0)&lt;&gt;EOMONTH(W$3,0),EOMONTH(W$4,0)&gt;=MAX(W$3,$E15),EOMONTH(W$4,0)&lt;=IF($F15="",W$4,MIN(W$4,$F15)))*1),IF($G15=102,(AND(WORKDAY(EOMONTH(W$3,0)+1,-3)&gt;=MAX(W$3,$E15),WORKDAY(EOMONTH(W$3,0)+1,-3)&lt;=IF($F15="",W$4,MIN(W$4,$F15)))*1+AND(WORKDAY(EOMONTH(W$4,0)+1,-3)&lt;&gt;WORKDAY(EOMONTH(W$3,0)+1,-3),WORKDAY(EOMONTH(W$4,0)+1,-3)&gt;=MAX(W$3,$E15),WORKDAY(EOMONTH(W$4,0)+1,-3)&lt;=IF($F15="",W$4,MIN(W$4,$F15)))*1),IF(AND(IF(EDATE($E15,MAX(0,ROUNDUP(((YEAR(W$3)-YEAR($E15))*12+MONTH(W$3)-MONTH($E15))/$G15,0)*$G15))&lt;W$3,EDATE($E15,MAX(0,ROUNDUP(((YEAR(W$3)-YEAR($E15))*12+MONTH(W$3)-MONTH($E15))/$G15,0)*$G15)+$G15),EDATE($E15,MAX(0,ROUNDUP(((YEAR(W$3)-YEAR($E15))*12+MONTH(W$3)-MONTH($E15))/$G15,0)*$G15)))&gt;=W$3,IF(EDATE($E15,MAX(0,ROUNDUP(((YEAR(W$3)-YEAR($E15))*12+MONTH(W$3)-MONTH($E15))/$G15,0)*$G15))&lt;W$3,EDATE($E15,MAX(0,ROUNDUP(((YEAR(W$3)-YEAR($E15))*12+MONTH(W$3)-MONTH($E15))/$G15,0)*$G15)+$G15),EDATE($E15,MAX(0,ROUNDUP(((YEAR(W$3)-YEAR($E15))*12+MONTH(W$3)-MONTH($E15))/$G15,0)*$G15)))&lt;=IF($F15="",W$4,MIN(W$4,$F15))),1,0)))))</f>
        <v>0</v>
      </c>
      <c r="X15" s="25" t="n">
        <f aca="false">IF(OR($C15="",$C15=0,$E15="",$B15="",$G15=-2),0,$C15*IF($G15=0,IF(IF($F15="",X$4,MIN(X$4,$F15))&lt;$E15,0,MAX(0,INT((IF($F15="",X$4,MIN(X$4,$F15))-$E15)/7)+1-MAX(0,ROUNDUP((X$3-$E15)/7,0)))),IF($G15=101,(AND(EOMONTH(X$3,0)&gt;=MAX(X$3,$E15),EOMONTH(X$3,0)&lt;=IF($F15="",X$4,MIN(X$4,$F15)))*1+AND(EOMONTH(X$4,0)&lt;&gt;EOMONTH(X$3,0),EOMONTH(X$4,0)&gt;=MAX(X$3,$E15),EOMONTH(X$4,0)&lt;=IF($F15="",X$4,MIN(X$4,$F15)))*1),IF($G15=102,(AND(WORKDAY(EOMONTH(X$3,0)+1,-3)&gt;=MAX(X$3,$E15),WORKDAY(EOMONTH(X$3,0)+1,-3)&lt;=IF($F15="",X$4,MIN(X$4,$F15)))*1+AND(WORKDAY(EOMONTH(X$4,0)+1,-3)&lt;&gt;WORKDAY(EOMONTH(X$3,0)+1,-3),WORKDAY(EOMONTH(X$4,0)+1,-3)&gt;=MAX(X$3,$E15),WORKDAY(EOMONTH(X$4,0)+1,-3)&lt;=IF($F15="",X$4,MIN(X$4,$F15)))*1),IF(AND(IF(EDATE($E15,MAX(0,ROUNDUP(((YEAR(X$3)-YEAR($E15))*12+MONTH(X$3)-MONTH($E15))/$G15,0)*$G15))&lt;X$3,EDATE($E15,MAX(0,ROUNDUP(((YEAR(X$3)-YEAR($E15))*12+MONTH(X$3)-MONTH($E15))/$G15,0)*$G15)+$G15),EDATE($E15,MAX(0,ROUNDUP(((YEAR(X$3)-YEAR($E15))*12+MONTH(X$3)-MONTH($E15))/$G15,0)*$G15)))&gt;=X$3,IF(EDATE($E15,MAX(0,ROUNDUP(((YEAR(X$3)-YEAR($E15))*12+MONTH(X$3)-MONTH($E15))/$G15,0)*$G15))&lt;X$3,EDATE($E15,MAX(0,ROUNDUP(((YEAR(X$3)-YEAR($E15))*12+MONTH(X$3)-MONTH($E15))/$G15,0)*$G15)+$G15),EDATE($E15,MAX(0,ROUNDUP(((YEAR(X$3)-YEAR($E15))*12+MONTH(X$3)-MONTH($E15))/$G15,0)*$G15)))&lt;=IF($F15="",X$4,MIN(X$4,$F15))),1,0)))))</f>
        <v>0</v>
      </c>
      <c r="Y15" s="25" t="n">
        <f aca="false">IF(OR($C15="",$C15=0,$E15="",$B15="",$G15=-2),0,$C15*IF($G15=0,IF(IF($F15="",Y$4,MIN(Y$4,$F15))&lt;$E15,0,MAX(0,INT((IF($F15="",Y$4,MIN(Y$4,$F15))-$E15)/7)+1-MAX(0,ROUNDUP((Y$3-$E15)/7,0)))),IF($G15=101,(AND(EOMONTH(Y$3,0)&gt;=MAX(Y$3,$E15),EOMONTH(Y$3,0)&lt;=IF($F15="",Y$4,MIN(Y$4,$F15)))*1+AND(EOMONTH(Y$4,0)&lt;&gt;EOMONTH(Y$3,0),EOMONTH(Y$4,0)&gt;=MAX(Y$3,$E15),EOMONTH(Y$4,0)&lt;=IF($F15="",Y$4,MIN(Y$4,$F15)))*1),IF($G15=102,(AND(WORKDAY(EOMONTH(Y$3,0)+1,-3)&gt;=MAX(Y$3,$E15),WORKDAY(EOMONTH(Y$3,0)+1,-3)&lt;=IF($F15="",Y$4,MIN(Y$4,$F15)))*1+AND(WORKDAY(EOMONTH(Y$4,0)+1,-3)&lt;&gt;WORKDAY(EOMONTH(Y$3,0)+1,-3),WORKDAY(EOMONTH(Y$4,0)+1,-3)&gt;=MAX(Y$3,$E15),WORKDAY(EOMONTH(Y$4,0)+1,-3)&lt;=IF($F15="",Y$4,MIN(Y$4,$F15)))*1),IF(AND(IF(EDATE($E15,MAX(0,ROUNDUP(((YEAR(Y$3)-YEAR($E15))*12+MONTH(Y$3)-MONTH($E15))/$G15,0)*$G15))&lt;Y$3,EDATE($E15,MAX(0,ROUNDUP(((YEAR(Y$3)-YEAR($E15))*12+MONTH(Y$3)-MONTH($E15))/$G15,0)*$G15)+$G15),EDATE($E15,MAX(0,ROUNDUP(((YEAR(Y$3)-YEAR($E15))*12+MONTH(Y$3)-MONTH($E15))/$G15,0)*$G15)))&gt;=Y$3,IF(EDATE($E15,MAX(0,ROUNDUP(((YEAR(Y$3)-YEAR($E15))*12+MONTH(Y$3)-MONTH($E15))/$G15,0)*$G15))&lt;Y$3,EDATE($E15,MAX(0,ROUNDUP(((YEAR(Y$3)-YEAR($E15))*12+MONTH(Y$3)-MONTH($E15))/$G15,0)*$G15)+$G15),EDATE($E15,MAX(0,ROUNDUP(((YEAR(Y$3)-YEAR($E15))*12+MONTH(Y$3)-MONTH($E15))/$G15,0)*$G15)))&lt;=IF($F15="",Y$4,MIN(Y$4,$F15))),1,0)))))</f>
        <v>0</v>
      </c>
      <c r="Z15" s="25" t="n">
        <f aca="false">IF(OR($C15="",$C15=0,$E15="",$B15="",$G15=-2),0,$C15*IF($G15=0,IF(IF($F15="",Z$4,MIN(Z$4,$F15))&lt;$E15,0,MAX(0,INT((IF($F15="",Z$4,MIN(Z$4,$F15))-$E15)/7)+1-MAX(0,ROUNDUP((Z$3-$E15)/7,0)))),IF($G15=101,(AND(EOMONTH(Z$3,0)&gt;=MAX(Z$3,$E15),EOMONTH(Z$3,0)&lt;=IF($F15="",Z$4,MIN(Z$4,$F15)))*1+AND(EOMONTH(Z$4,0)&lt;&gt;EOMONTH(Z$3,0),EOMONTH(Z$4,0)&gt;=MAX(Z$3,$E15),EOMONTH(Z$4,0)&lt;=IF($F15="",Z$4,MIN(Z$4,$F15)))*1),IF($G15=102,(AND(WORKDAY(EOMONTH(Z$3,0)+1,-3)&gt;=MAX(Z$3,$E15),WORKDAY(EOMONTH(Z$3,0)+1,-3)&lt;=IF($F15="",Z$4,MIN(Z$4,$F15)))*1+AND(WORKDAY(EOMONTH(Z$4,0)+1,-3)&lt;&gt;WORKDAY(EOMONTH(Z$3,0)+1,-3),WORKDAY(EOMONTH(Z$4,0)+1,-3)&gt;=MAX(Z$3,$E15),WORKDAY(EOMONTH(Z$4,0)+1,-3)&lt;=IF($F15="",Z$4,MIN(Z$4,$F15)))*1),IF(AND(IF(EDATE($E15,MAX(0,ROUNDUP(((YEAR(Z$3)-YEAR($E15))*12+MONTH(Z$3)-MONTH($E15))/$G15,0)*$G15))&lt;Z$3,EDATE($E15,MAX(0,ROUNDUP(((YEAR(Z$3)-YEAR($E15))*12+MONTH(Z$3)-MONTH($E15))/$G15,0)*$G15)+$G15),EDATE($E15,MAX(0,ROUNDUP(((YEAR(Z$3)-YEAR($E15))*12+MONTH(Z$3)-MONTH($E15))/$G15,0)*$G15)))&gt;=Z$3,IF(EDATE($E15,MAX(0,ROUNDUP(((YEAR(Z$3)-YEAR($E15))*12+MONTH(Z$3)-MONTH($E15))/$G15,0)*$G15))&lt;Z$3,EDATE($E15,MAX(0,ROUNDUP(((YEAR(Z$3)-YEAR($E15))*12+MONTH(Z$3)-MONTH($E15))/$G15,0)*$G15)+$G15),EDATE($E15,MAX(0,ROUNDUP(((YEAR(Z$3)-YEAR($E15))*12+MONTH(Z$3)-MONTH($E15))/$G15,0)*$G15)))&lt;=IF($F15="",Z$4,MIN(Z$4,$F15))),1,0)))))</f>
        <v>0</v>
      </c>
      <c r="AA15" s="25" t="n">
        <f aca="false">IF(OR($C15="",$C15=0,$E15="",$B15="",$G15=-2),0,$C15*IF($G15=0,IF(IF($F15="",AA$4,MIN(AA$4,$F15))&lt;$E15,0,MAX(0,INT((IF($F15="",AA$4,MIN(AA$4,$F15))-$E15)/7)+1-MAX(0,ROUNDUP((AA$3-$E15)/7,0)))),IF($G15=101,(AND(EOMONTH(AA$3,0)&gt;=MAX(AA$3,$E15),EOMONTH(AA$3,0)&lt;=IF($F15="",AA$4,MIN(AA$4,$F15)))*1+AND(EOMONTH(AA$4,0)&lt;&gt;EOMONTH(AA$3,0),EOMONTH(AA$4,0)&gt;=MAX(AA$3,$E15),EOMONTH(AA$4,0)&lt;=IF($F15="",AA$4,MIN(AA$4,$F15)))*1),IF($G15=102,(AND(WORKDAY(EOMONTH(AA$3,0)+1,-3)&gt;=MAX(AA$3,$E15),WORKDAY(EOMONTH(AA$3,0)+1,-3)&lt;=IF($F15="",AA$4,MIN(AA$4,$F15)))*1+AND(WORKDAY(EOMONTH(AA$4,0)+1,-3)&lt;&gt;WORKDAY(EOMONTH(AA$3,0)+1,-3),WORKDAY(EOMONTH(AA$4,0)+1,-3)&gt;=MAX(AA$3,$E15),WORKDAY(EOMONTH(AA$4,0)+1,-3)&lt;=IF($F15="",AA$4,MIN(AA$4,$F15)))*1),IF(AND(IF(EDATE($E15,MAX(0,ROUNDUP(((YEAR(AA$3)-YEAR($E15))*12+MONTH(AA$3)-MONTH($E15))/$G15,0)*$G15))&lt;AA$3,EDATE($E15,MAX(0,ROUNDUP(((YEAR(AA$3)-YEAR($E15))*12+MONTH(AA$3)-MONTH($E15))/$G15,0)*$G15)+$G15),EDATE($E15,MAX(0,ROUNDUP(((YEAR(AA$3)-YEAR($E15))*12+MONTH(AA$3)-MONTH($E15))/$G15,0)*$G15)))&gt;=AA$3,IF(EDATE($E15,MAX(0,ROUNDUP(((YEAR(AA$3)-YEAR($E15))*12+MONTH(AA$3)-MONTH($E15))/$G15,0)*$G15))&lt;AA$3,EDATE($E15,MAX(0,ROUNDUP(((YEAR(AA$3)-YEAR($E15))*12+MONTH(AA$3)-MONTH($E15))/$G15,0)*$G15)+$G15),EDATE($E15,MAX(0,ROUNDUP(((YEAR(AA$3)-YEAR($E15))*12+MONTH(AA$3)-MONTH($E15))/$G15,0)*$G15)))&lt;=IF($F15="",AA$4,MIN(AA$4,$F15))),1,0)))))</f>
        <v>0</v>
      </c>
      <c r="AB15" s="25" t="n">
        <f aca="false">IF(OR($C15="",$C15=0,$E15="",$B15="",$G15=-2),0,$C15*IF($G15=0,IF(IF($F15="",AB$4,MIN(AB$4,$F15))&lt;$E15,0,MAX(0,INT((IF($F15="",AB$4,MIN(AB$4,$F15))-$E15)/7)+1-MAX(0,ROUNDUP((AB$3-$E15)/7,0)))),IF($G15=101,(AND(EOMONTH(AB$3,0)&gt;=MAX(AB$3,$E15),EOMONTH(AB$3,0)&lt;=IF($F15="",AB$4,MIN(AB$4,$F15)))*1+AND(EOMONTH(AB$4,0)&lt;&gt;EOMONTH(AB$3,0),EOMONTH(AB$4,0)&gt;=MAX(AB$3,$E15),EOMONTH(AB$4,0)&lt;=IF($F15="",AB$4,MIN(AB$4,$F15)))*1),IF($G15=102,(AND(WORKDAY(EOMONTH(AB$3,0)+1,-3)&gt;=MAX(AB$3,$E15),WORKDAY(EOMONTH(AB$3,0)+1,-3)&lt;=IF($F15="",AB$4,MIN(AB$4,$F15)))*1+AND(WORKDAY(EOMONTH(AB$4,0)+1,-3)&lt;&gt;WORKDAY(EOMONTH(AB$3,0)+1,-3),WORKDAY(EOMONTH(AB$4,0)+1,-3)&gt;=MAX(AB$3,$E15),WORKDAY(EOMONTH(AB$4,0)+1,-3)&lt;=IF($F15="",AB$4,MIN(AB$4,$F15)))*1),IF(AND(IF(EDATE($E15,MAX(0,ROUNDUP(((YEAR(AB$3)-YEAR($E15))*12+MONTH(AB$3)-MONTH($E15))/$G15,0)*$G15))&lt;AB$3,EDATE($E15,MAX(0,ROUNDUP(((YEAR(AB$3)-YEAR($E15))*12+MONTH(AB$3)-MONTH($E15))/$G15,0)*$G15)+$G15),EDATE($E15,MAX(0,ROUNDUP(((YEAR(AB$3)-YEAR($E15))*12+MONTH(AB$3)-MONTH($E15))/$G15,0)*$G15)))&gt;=AB$3,IF(EDATE($E15,MAX(0,ROUNDUP(((YEAR(AB$3)-YEAR($E15))*12+MONTH(AB$3)-MONTH($E15))/$G15,0)*$G15))&lt;AB$3,EDATE($E15,MAX(0,ROUNDUP(((YEAR(AB$3)-YEAR($E15))*12+MONTH(AB$3)-MONTH($E15))/$G15,0)*$G15)+$G15),EDATE($E15,MAX(0,ROUNDUP(((YEAR(AB$3)-YEAR($E15))*12+MONTH(AB$3)-MONTH($E15))/$G15,0)*$G15)))&lt;=IF($F15="",AB$4,MIN(AB$4,$F15))),1,0)))))</f>
        <v>0</v>
      </c>
      <c r="AC15" s="25" t="n">
        <f aca="false">IF(OR($C15="",$C15=0,$E15="",$B15="",$G15=-2),0,$C15*IF($G15=0,IF(IF($F15="",AC$4,MIN(AC$4,$F15))&lt;$E15,0,MAX(0,INT((IF($F15="",AC$4,MIN(AC$4,$F15))-$E15)/7)+1-MAX(0,ROUNDUP((AC$3-$E15)/7,0)))),IF($G15=101,(AND(EOMONTH(AC$3,0)&gt;=MAX(AC$3,$E15),EOMONTH(AC$3,0)&lt;=IF($F15="",AC$4,MIN(AC$4,$F15)))*1+AND(EOMONTH(AC$4,0)&lt;&gt;EOMONTH(AC$3,0),EOMONTH(AC$4,0)&gt;=MAX(AC$3,$E15),EOMONTH(AC$4,0)&lt;=IF($F15="",AC$4,MIN(AC$4,$F15)))*1),IF($G15=102,(AND(WORKDAY(EOMONTH(AC$3,0)+1,-3)&gt;=MAX(AC$3,$E15),WORKDAY(EOMONTH(AC$3,0)+1,-3)&lt;=IF($F15="",AC$4,MIN(AC$4,$F15)))*1+AND(WORKDAY(EOMONTH(AC$4,0)+1,-3)&lt;&gt;WORKDAY(EOMONTH(AC$3,0)+1,-3),WORKDAY(EOMONTH(AC$4,0)+1,-3)&gt;=MAX(AC$3,$E15),WORKDAY(EOMONTH(AC$4,0)+1,-3)&lt;=IF($F15="",AC$4,MIN(AC$4,$F15)))*1),IF(AND(IF(EDATE($E15,MAX(0,ROUNDUP(((YEAR(AC$3)-YEAR($E15))*12+MONTH(AC$3)-MONTH($E15))/$G15,0)*$G15))&lt;AC$3,EDATE($E15,MAX(0,ROUNDUP(((YEAR(AC$3)-YEAR($E15))*12+MONTH(AC$3)-MONTH($E15))/$G15,0)*$G15)+$G15),EDATE($E15,MAX(0,ROUNDUP(((YEAR(AC$3)-YEAR($E15))*12+MONTH(AC$3)-MONTH($E15))/$G15,0)*$G15)))&gt;=AC$3,IF(EDATE($E15,MAX(0,ROUNDUP(((YEAR(AC$3)-YEAR($E15))*12+MONTH(AC$3)-MONTH($E15))/$G15,0)*$G15))&lt;AC$3,EDATE($E15,MAX(0,ROUNDUP(((YEAR(AC$3)-YEAR($E15))*12+MONTH(AC$3)-MONTH($E15))/$G15,0)*$G15)+$G15),EDATE($E15,MAX(0,ROUNDUP(((YEAR(AC$3)-YEAR($E15))*12+MONTH(AC$3)-MONTH($E15))/$G15,0)*$G15)))&lt;=IF($F15="",AC$4,MIN(AC$4,$F15))),1,0)))))</f>
        <v>0</v>
      </c>
      <c r="AD15" s="25" t="n">
        <f aca="false">IF(OR($C15="",$C15=0,$E15="",$B15="",$G15=-2),0,$C15*IF($G15=0,IF(IF($F15="",AD$4,MIN(AD$4,$F15))&lt;$E15,0,MAX(0,INT((IF($F15="",AD$4,MIN(AD$4,$F15))-$E15)/7)+1-MAX(0,ROUNDUP((AD$3-$E15)/7,0)))),IF($G15=101,(AND(EOMONTH(AD$3,0)&gt;=MAX(AD$3,$E15),EOMONTH(AD$3,0)&lt;=IF($F15="",AD$4,MIN(AD$4,$F15)))*1+AND(EOMONTH(AD$4,0)&lt;&gt;EOMONTH(AD$3,0),EOMONTH(AD$4,0)&gt;=MAX(AD$3,$E15),EOMONTH(AD$4,0)&lt;=IF($F15="",AD$4,MIN(AD$4,$F15)))*1),IF($G15=102,(AND(WORKDAY(EOMONTH(AD$3,0)+1,-3)&gt;=MAX(AD$3,$E15),WORKDAY(EOMONTH(AD$3,0)+1,-3)&lt;=IF($F15="",AD$4,MIN(AD$4,$F15)))*1+AND(WORKDAY(EOMONTH(AD$4,0)+1,-3)&lt;&gt;WORKDAY(EOMONTH(AD$3,0)+1,-3),WORKDAY(EOMONTH(AD$4,0)+1,-3)&gt;=MAX(AD$3,$E15),WORKDAY(EOMONTH(AD$4,0)+1,-3)&lt;=IF($F15="",AD$4,MIN(AD$4,$F15)))*1),IF(AND(IF(EDATE($E15,MAX(0,ROUNDUP(((YEAR(AD$3)-YEAR($E15))*12+MONTH(AD$3)-MONTH($E15))/$G15,0)*$G15))&lt;AD$3,EDATE($E15,MAX(0,ROUNDUP(((YEAR(AD$3)-YEAR($E15))*12+MONTH(AD$3)-MONTH($E15))/$G15,0)*$G15)+$G15),EDATE($E15,MAX(0,ROUNDUP(((YEAR(AD$3)-YEAR($E15))*12+MONTH(AD$3)-MONTH($E15))/$G15,0)*$G15)))&gt;=AD$3,IF(EDATE($E15,MAX(0,ROUNDUP(((YEAR(AD$3)-YEAR($E15))*12+MONTH(AD$3)-MONTH($E15))/$G15,0)*$G15))&lt;AD$3,EDATE($E15,MAX(0,ROUNDUP(((YEAR(AD$3)-YEAR($E15))*12+MONTH(AD$3)-MONTH($E15))/$G15,0)*$G15)+$G15),EDATE($E15,MAX(0,ROUNDUP(((YEAR(AD$3)-YEAR($E15))*12+MONTH(AD$3)-MONTH($E15))/$G15,0)*$G15)))&lt;=IF($F15="",AD$4,MIN(AD$4,$F15))),1,0)))))</f>
        <v>0</v>
      </c>
      <c r="AE15" s="25" t="n">
        <f aca="false">IF(OR($C15="",$C15=0,$E15="",$B15="",$G15=-2),0,$C15*IF($G15=0,IF(IF($F15="",AE$4,MIN(AE$4,$F15))&lt;$E15,0,MAX(0,INT((IF($F15="",AE$4,MIN(AE$4,$F15))-$E15)/7)+1-MAX(0,ROUNDUP((AE$3-$E15)/7,0)))),IF($G15=101,(AND(EOMONTH(AE$3,0)&gt;=MAX(AE$3,$E15),EOMONTH(AE$3,0)&lt;=IF($F15="",AE$4,MIN(AE$4,$F15)))*1+AND(EOMONTH(AE$4,0)&lt;&gt;EOMONTH(AE$3,0),EOMONTH(AE$4,0)&gt;=MAX(AE$3,$E15),EOMONTH(AE$4,0)&lt;=IF($F15="",AE$4,MIN(AE$4,$F15)))*1),IF($G15=102,(AND(WORKDAY(EOMONTH(AE$3,0)+1,-3)&gt;=MAX(AE$3,$E15),WORKDAY(EOMONTH(AE$3,0)+1,-3)&lt;=IF($F15="",AE$4,MIN(AE$4,$F15)))*1+AND(WORKDAY(EOMONTH(AE$4,0)+1,-3)&lt;&gt;WORKDAY(EOMONTH(AE$3,0)+1,-3),WORKDAY(EOMONTH(AE$4,0)+1,-3)&gt;=MAX(AE$3,$E15),WORKDAY(EOMONTH(AE$4,0)+1,-3)&lt;=IF($F15="",AE$4,MIN(AE$4,$F15)))*1),IF(AND(IF(EDATE($E15,MAX(0,ROUNDUP(((YEAR(AE$3)-YEAR($E15))*12+MONTH(AE$3)-MONTH($E15))/$G15,0)*$G15))&lt;AE$3,EDATE($E15,MAX(0,ROUNDUP(((YEAR(AE$3)-YEAR($E15))*12+MONTH(AE$3)-MONTH($E15))/$G15,0)*$G15)+$G15),EDATE($E15,MAX(0,ROUNDUP(((YEAR(AE$3)-YEAR($E15))*12+MONTH(AE$3)-MONTH($E15))/$G15,0)*$G15)))&gt;=AE$3,IF(EDATE($E15,MAX(0,ROUNDUP(((YEAR(AE$3)-YEAR($E15))*12+MONTH(AE$3)-MONTH($E15))/$G15,0)*$G15))&lt;AE$3,EDATE($E15,MAX(0,ROUNDUP(((YEAR(AE$3)-YEAR($E15))*12+MONTH(AE$3)-MONTH($E15))/$G15,0)*$G15)+$G15),EDATE($E15,MAX(0,ROUNDUP(((YEAR(AE$3)-YEAR($E15))*12+MONTH(AE$3)-MONTH($E15))/$G15,0)*$G15)))&lt;=IF($F15="",AE$4,MIN(AE$4,$F15))),1,0)))))</f>
        <v>0</v>
      </c>
      <c r="AF15" s="25" t="n">
        <f aca="false">IF(OR($C15="",$C15=0,$E15="",$B15="",$G15=-2),0,$C15*IF($G15=0,IF(IF($F15="",AF$4,MIN(AF$4,$F15))&lt;$E15,0,MAX(0,INT((IF($F15="",AF$4,MIN(AF$4,$F15))-$E15)/7)+1-MAX(0,ROUNDUP((AF$3-$E15)/7,0)))),IF($G15=101,(AND(EOMONTH(AF$3,0)&gt;=MAX(AF$3,$E15),EOMONTH(AF$3,0)&lt;=IF($F15="",AF$4,MIN(AF$4,$F15)))*1+AND(EOMONTH(AF$4,0)&lt;&gt;EOMONTH(AF$3,0),EOMONTH(AF$4,0)&gt;=MAX(AF$3,$E15),EOMONTH(AF$4,0)&lt;=IF($F15="",AF$4,MIN(AF$4,$F15)))*1),IF($G15=102,(AND(WORKDAY(EOMONTH(AF$3,0)+1,-3)&gt;=MAX(AF$3,$E15),WORKDAY(EOMONTH(AF$3,0)+1,-3)&lt;=IF($F15="",AF$4,MIN(AF$4,$F15)))*1+AND(WORKDAY(EOMONTH(AF$4,0)+1,-3)&lt;&gt;WORKDAY(EOMONTH(AF$3,0)+1,-3),WORKDAY(EOMONTH(AF$4,0)+1,-3)&gt;=MAX(AF$3,$E15),WORKDAY(EOMONTH(AF$4,0)+1,-3)&lt;=IF($F15="",AF$4,MIN(AF$4,$F15)))*1),IF(AND(IF(EDATE($E15,MAX(0,ROUNDUP(((YEAR(AF$3)-YEAR($E15))*12+MONTH(AF$3)-MONTH($E15))/$G15,0)*$G15))&lt;AF$3,EDATE($E15,MAX(0,ROUNDUP(((YEAR(AF$3)-YEAR($E15))*12+MONTH(AF$3)-MONTH($E15))/$G15,0)*$G15)+$G15),EDATE($E15,MAX(0,ROUNDUP(((YEAR(AF$3)-YEAR($E15))*12+MONTH(AF$3)-MONTH($E15))/$G15,0)*$G15)))&gt;=AF$3,IF(EDATE($E15,MAX(0,ROUNDUP(((YEAR(AF$3)-YEAR($E15))*12+MONTH(AF$3)-MONTH($E15))/$G15,0)*$G15))&lt;AF$3,EDATE($E15,MAX(0,ROUNDUP(((YEAR(AF$3)-YEAR($E15))*12+MONTH(AF$3)-MONTH($E15))/$G15,0)*$G15)+$G15),EDATE($E15,MAX(0,ROUNDUP(((YEAR(AF$3)-YEAR($E15))*12+MONTH(AF$3)-MONTH($E15))/$G15,0)*$G15)))&lt;=IF($F15="",AF$4,MIN(AF$4,$F15))),1,0)))))</f>
        <v>0</v>
      </c>
    </row>
    <row r="16" customFormat="false" ht="15" hidden="false" customHeight="false" outlineLevel="0" collapsed="false">
      <c r="A16" s="5"/>
      <c r="B16" s="5"/>
      <c r="C16" s="8"/>
      <c r="D16" s="5"/>
      <c r="E16" s="7"/>
      <c r="F16" s="7"/>
      <c r="G16" s="24" t="n">
        <f aca="false">IFERROR(INDEX(Listen!$E$2:$E$8,MATCH(D16,Listen!$D$2:$D$8,0)),-2)</f>
        <v>-2</v>
      </c>
      <c r="H16" s="25" t="n">
        <f aca="false">IF(OR($C16="",$C16=0,$E16="",$B16="",$G16=-2),0,$C16*IF($G16=0,IF(IF($F16="",H$4,MIN(H$4,$F16))&lt;$E16,0,MAX(0,INT((IF($F16="",H$4,MIN(H$4,$F16))-$E16)/7)+1-MAX(0,ROUNDUP((H$3-$E16)/7,0)))),IF($G16=101,(AND(EOMONTH(H$3,0)&gt;=MAX(H$3,$E16),EOMONTH(H$3,0)&lt;=IF($F16="",H$4,MIN(H$4,$F16)))*1+AND(EOMONTH(H$4,0)&lt;&gt;EOMONTH(H$3,0),EOMONTH(H$4,0)&gt;=MAX(H$3,$E16),EOMONTH(H$4,0)&lt;=IF($F16="",H$4,MIN(H$4,$F16)))*1),IF($G16=102,(AND(WORKDAY(EOMONTH(H$3,0)+1,-3)&gt;=MAX(H$3,$E16),WORKDAY(EOMONTH(H$3,0)+1,-3)&lt;=IF($F16="",H$4,MIN(H$4,$F16)))*1+AND(WORKDAY(EOMONTH(H$4,0)+1,-3)&lt;&gt;WORKDAY(EOMONTH(H$3,0)+1,-3),WORKDAY(EOMONTH(H$4,0)+1,-3)&gt;=MAX(H$3,$E16),WORKDAY(EOMONTH(H$4,0)+1,-3)&lt;=IF($F16="",H$4,MIN(H$4,$F16)))*1),IF(AND(IF(EDATE($E16,MAX(0,ROUNDUP(((YEAR(H$3)-YEAR($E16))*12+MONTH(H$3)-MONTH($E16))/$G16,0)*$G16))&lt;H$3,EDATE($E16,MAX(0,ROUNDUP(((YEAR(H$3)-YEAR($E16))*12+MONTH(H$3)-MONTH($E16))/$G16,0)*$G16)+$G16),EDATE($E16,MAX(0,ROUNDUP(((YEAR(H$3)-YEAR($E16))*12+MONTH(H$3)-MONTH($E16))/$G16,0)*$G16)))&gt;=H$3,IF(EDATE($E16,MAX(0,ROUNDUP(((YEAR(H$3)-YEAR($E16))*12+MONTH(H$3)-MONTH($E16))/$G16,0)*$G16))&lt;H$3,EDATE($E16,MAX(0,ROUNDUP(((YEAR(H$3)-YEAR($E16))*12+MONTH(H$3)-MONTH($E16))/$G16,0)*$G16)+$G16),EDATE($E16,MAX(0,ROUNDUP(((YEAR(H$3)-YEAR($E16))*12+MONTH(H$3)-MONTH($E16))/$G16,0)*$G16)))&lt;=IF($F16="",H$4,MIN(H$4,$F16))),1,0)))))</f>
        <v>0</v>
      </c>
      <c r="I16" s="25" t="n">
        <f aca="false">IF(OR($C16="",$C16=0,$E16="",$B16="",$G16=-2),0,$C16*IF($G16=0,IF(IF($F16="",I$4,MIN(I$4,$F16))&lt;$E16,0,MAX(0,INT((IF($F16="",I$4,MIN(I$4,$F16))-$E16)/7)+1-MAX(0,ROUNDUP((I$3-$E16)/7,0)))),IF($G16=101,(AND(EOMONTH(I$3,0)&gt;=MAX(I$3,$E16),EOMONTH(I$3,0)&lt;=IF($F16="",I$4,MIN(I$4,$F16)))*1+AND(EOMONTH(I$4,0)&lt;&gt;EOMONTH(I$3,0),EOMONTH(I$4,0)&gt;=MAX(I$3,$E16),EOMONTH(I$4,0)&lt;=IF($F16="",I$4,MIN(I$4,$F16)))*1),IF($G16=102,(AND(WORKDAY(EOMONTH(I$3,0)+1,-3)&gt;=MAX(I$3,$E16),WORKDAY(EOMONTH(I$3,0)+1,-3)&lt;=IF($F16="",I$4,MIN(I$4,$F16)))*1+AND(WORKDAY(EOMONTH(I$4,0)+1,-3)&lt;&gt;WORKDAY(EOMONTH(I$3,0)+1,-3),WORKDAY(EOMONTH(I$4,0)+1,-3)&gt;=MAX(I$3,$E16),WORKDAY(EOMONTH(I$4,0)+1,-3)&lt;=IF($F16="",I$4,MIN(I$4,$F16)))*1),IF(AND(IF(EDATE($E16,MAX(0,ROUNDUP(((YEAR(I$3)-YEAR($E16))*12+MONTH(I$3)-MONTH($E16))/$G16,0)*$G16))&lt;I$3,EDATE($E16,MAX(0,ROUNDUP(((YEAR(I$3)-YEAR($E16))*12+MONTH(I$3)-MONTH($E16))/$G16,0)*$G16)+$G16),EDATE($E16,MAX(0,ROUNDUP(((YEAR(I$3)-YEAR($E16))*12+MONTH(I$3)-MONTH($E16))/$G16,0)*$G16)))&gt;=I$3,IF(EDATE($E16,MAX(0,ROUNDUP(((YEAR(I$3)-YEAR($E16))*12+MONTH(I$3)-MONTH($E16))/$G16,0)*$G16))&lt;I$3,EDATE($E16,MAX(0,ROUNDUP(((YEAR(I$3)-YEAR($E16))*12+MONTH(I$3)-MONTH($E16))/$G16,0)*$G16)+$G16),EDATE($E16,MAX(0,ROUNDUP(((YEAR(I$3)-YEAR($E16))*12+MONTH(I$3)-MONTH($E16))/$G16,0)*$G16)))&lt;=IF($F16="",I$4,MIN(I$4,$F16))),1,0)))))</f>
        <v>0</v>
      </c>
      <c r="J16" s="25" t="n">
        <f aca="false">IF(OR($C16="",$C16=0,$E16="",$B16="",$G16=-2),0,$C16*IF($G16=0,IF(IF($F16="",J$4,MIN(J$4,$F16))&lt;$E16,0,MAX(0,INT((IF($F16="",J$4,MIN(J$4,$F16))-$E16)/7)+1-MAX(0,ROUNDUP((J$3-$E16)/7,0)))),IF($G16=101,(AND(EOMONTH(J$3,0)&gt;=MAX(J$3,$E16),EOMONTH(J$3,0)&lt;=IF($F16="",J$4,MIN(J$4,$F16)))*1+AND(EOMONTH(J$4,0)&lt;&gt;EOMONTH(J$3,0),EOMONTH(J$4,0)&gt;=MAX(J$3,$E16),EOMONTH(J$4,0)&lt;=IF($F16="",J$4,MIN(J$4,$F16)))*1),IF($G16=102,(AND(WORKDAY(EOMONTH(J$3,0)+1,-3)&gt;=MAX(J$3,$E16),WORKDAY(EOMONTH(J$3,0)+1,-3)&lt;=IF($F16="",J$4,MIN(J$4,$F16)))*1+AND(WORKDAY(EOMONTH(J$4,0)+1,-3)&lt;&gt;WORKDAY(EOMONTH(J$3,0)+1,-3),WORKDAY(EOMONTH(J$4,0)+1,-3)&gt;=MAX(J$3,$E16),WORKDAY(EOMONTH(J$4,0)+1,-3)&lt;=IF($F16="",J$4,MIN(J$4,$F16)))*1),IF(AND(IF(EDATE($E16,MAX(0,ROUNDUP(((YEAR(J$3)-YEAR($E16))*12+MONTH(J$3)-MONTH($E16))/$G16,0)*$G16))&lt;J$3,EDATE($E16,MAX(0,ROUNDUP(((YEAR(J$3)-YEAR($E16))*12+MONTH(J$3)-MONTH($E16))/$G16,0)*$G16)+$G16),EDATE($E16,MAX(0,ROUNDUP(((YEAR(J$3)-YEAR($E16))*12+MONTH(J$3)-MONTH($E16))/$G16,0)*$G16)))&gt;=J$3,IF(EDATE($E16,MAX(0,ROUNDUP(((YEAR(J$3)-YEAR($E16))*12+MONTH(J$3)-MONTH($E16))/$G16,0)*$G16))&lt;J$3,EDATE($E16,MAX(0,ROUNDUP(((YEAR(J$3)-YEAR($E16))*12+MONTH(J$3)-MONTH($E16))/$G16,0)*$G16)+$G16),EDATE($E16,MAX(0,ROUNDUP(((YEAR(J$3)-YEAR($E16))*12+MONTH(J$3)-MONTH($E16))/$G16,0)*$G16)))&lt;=IF($F16="",J$4,MIN(J$4,$F16))),1,0)))))</f>
        <v>0</v>
      </c>
      <c r="K16" s="25" t="n">
        <f aca="false">IF(OR($C16="",$C16=0,$E16="",$B16="",$G16=-2),0,$C16*IF($G16=0,IF(IF($F16="",K$4,MIN(K$4,$F16))&lt;$E16,0,MAX(0,INT((IF($F16="",K$4,MIN(K$4,$F16))-$E16)/7)+1-MAX(0,ROUNDUP((K$3-$E16)/7,0)))),IF($G16=101,(AND(EOMONTH(K$3,0)&gt;=MAX(K$3,$E16),EOMONTH(K$3,0)&lt;=IF($F16="",K$4,MIN(K$4,$F16)))*1+AND(EOMONTH(K$4,0)&lt;&gt;EOMONTH(K$3,0),EOMONTH(K$4,0)&gt;=MAX(K$3,$E16),EOMONTH(K$4,0)&lt;=IF($F16="",K$4,MIN(K$4,$F16)))*1),IF($G16=102,(AND(WORKDAY(EOMONTH(K$3,0)+1,-3)&gt;=MAX(K$3,$E16),WORKDAY(EOMONTH(K$3,0)+1,-3)&lt;=IF($F16="",K$4,MIN(K$4,$F16)))*1+AND(WORKDAY(EOMONTH(K$4,0)+1,-3)&lt;&gt;WORKDAY(EOMONTH(K$3,0)+1,-3),WORKDAY(EOMONTH(K$4,0)+1,-3)&gt;=MAX(K$3,$E16),WORKDAY(EOMONTH(K$4,0)+1,-3)&lt;=IF($F16="",K$4,MIN(K$4,$F16)))*1),IF(AND(IF(EDATE($E16,MAX(0,ROUNDUP(((YEAR(K$3)-YEAR($E16))*12+MONTH(K$3)-MONTH($E16))/$G16,0)*$G16))&lt;K$3,EDATE($E16,MAX(0,ROUNDUP(((YEAR(K$3)-YEAR($E16))*12+MONTH(K$3)-MONTH($E16))/$G16,0)*$G16)+$G16),EDATE($E16,MAX(0,ROUNDUP(((YEAR(K$3)-YEAR($E16))*12+MONTH(K$3)-MONTH($E16))/$G16,0)*$G16)))&gt;=K$3,IF(EDATE($E16,MAX(0,ROUNDUP(((YEAR(K$3)-YEAR($E16))*12+MONTH(K$3)-MONTH($E16))/$G16,0)*$G16))&lt;K$3,EDATE($E16,MAX(0,ROUNDUP(((YEAR(K$3)-YEAR($E16))*12+MONTH(K$3)-MONTH($E16))/$G16,0)*$G16)+$G16),EDATE($E16,MAX(0,ROUNDUP(((YEAR(K$3)-YEAR($E16))*12+MONTH(K$3)-MONTH($E16))/$G16,0)*$G16)))&lt;=IF($F16="",K$4,MIN(K$4,$F16))),1,0)))))</f>
        <v>0</v>
      </c>
      <c r="L16" s="25" t="n">
        <f aca="false">IF(OR($C16="",$C16=0,$E16="",$B16="",$G16=-2),0,$C16*IF($G16=0,IF(IF($F16="",L$4,MIN(L$4,$F16))&lt;$E16,0,MAX(0,INT((IF($F16="",L$4,MIN(L$4,$F16))-$E16)/7)+1-MAX(0,ROUNDUP((L$3-$E16)/7,0)))),IF($G16=101,(AND(EOMONTH(L$3,0)&gt;=MAX(L$3,$E16),EOMONTH(L$3,0)&lt;=IF($F16="",L$4,MIN(L$4,$F16)))*1+AND(EOMONTH(L$4,0)&lt;&gt;EOMONTH(L$3,0),EOMONTH(L$4,0)&gt;=MAX(L$3,$E16),EOMONTH(L$4,0)&lt;=IF($F16="",L$4,MIN(L$4,$F16)))*1),IF($G16=102,(AND(WORKDAY(EOMONTH(L$3,0)+1,-3)&gt;=MAX(L$3,$E16),WORKDAY(EOMONTH(L$3,0)+1,-3)&lt;=IF($F16="",L$4,MIN(L$4,$F16)))*1+AND(WORKDAY(EOMONTH(L$4,0)+1,-3)&lt;&gt;WORKDAY(EOMONTH(L$3,0)+1,-3),WORKDAY(EOMONTH(L$4,0)+1,-3)&gt;=MAX(L$3,$E16),WORKDAY(EOMONTH(L$4,0)+1,-3)&lt;=IF($F16="",L$4,MIN(L$4,$F16)))*1),IF(AND(IF(EDATE($E16,MAX(0,ROUNDUP(((YEAR(L$3)-YEAR($E16))*12+MONTH(L$3)-MONTH($E16))/$G16,0)*$G16))&lt;L$3,EDATE($E16,MAX(0,ROUNDUP(((YEAR(L$3)-YEAR($E16))*12+MONTH(L$3)-MONTH($E16))/$G16,0)*$G16)+$G16),EDATE($E16,MAX(0,ROUNDUP(((YEAR(L$3)-YEAR($E16))*12+MONTH(L$3)-MONTH($E16))/$G16,0)*$G16)))&gt;=L$3,IF(EDATE($E16,MAX(0,ROUNDUP(((YEAR(L$3)-YEAR($E16))*12+MONTH(L$3)-MONTH($E16))/$G16,0)*$G16))&lt;L$3,EDATE($E16,MAX(0,ROUNDUP(((YEAR(L$3)-YEAR($E16))*12+MONTH(L$3)-MONTH($E16))/$G16,0)*$G16)+$G16),EDATE($E16,MAX(0,ROUNDUP(((YEAR(L$3)-YEAR($E16))*12+MONTH(L$3)-MONTH($E16))/$G16,0)*$G16)))&lt;=IF($F16="",L$4,MIN(L$4,$F16))),1,0)))))</f>
        <v>0</v>
      </c>
      <c r="M16" s="25" t="n">
        <f aca="false">IF(OR($C16="",$C16=0,$E16="",$B16="",$G16=-2),0,$C16*IF($G16=0,IF(IF($F16="",M$4,MIN(M$4,$F16))&lt;$E16,0,MAX(0,INT((IF($F16="",M$4,MIN(M$4,$F16))-$E16)/7)+1-MAX(0,ROUNDUP((M$3-$E16)/7,0)))),IF($G16=101,(AND(EOMONTH(M$3,0)&gt;=MAX(M$3,$E16),EOMONTH(M$3,0)&lt;=IF($F16="",M$4,MIN(M$4,$F16)))*1+AND(EOMONTH(M$4,0)&lt;&gt;EOMONTH(M$3,0),EOMONTH(M$4,0)&gt;=MAX(M$3,$E16),EOMONTH(M$4,0)&lt;=IF($F16="",M$4,MIN(M$4,$F16)))*1),IF($G16=102,(AND(WORKDAY(EOMONTH(M$3,0)+1,-3)&gt;=MAX(M$3,$E16),WORKDAY(EOMONTH(M$3,0)+1,-3)&lt;=IF($F16="",M$4,MIN(M$4,$F16)))*1+AND(WORKDAY(EOMONTH(M$4,0)+1,-3)&lt;&gt;WORKDAY(EOMONTH(M$3,0)+1,-3),WORKDAY(EOMONTH(M$4,0)+1,-3)&gt;=MAX(M$3,$E16),WORKDAY(EOMONTH(M$4,0)+1,-3)&lt;=IF($F16="",M$4,MIN(M$4,$F16)))*1),IF(AND(IF(EDATE($E16,MAX(0,ROUNDUP(((YEAR(M$3)-YEAR($E16))*12+MONTH(M$3)-MONTH($E16))/$G16,0)*$G16))&lt;M$3,EDATE($E16,MAX(0,ROUNDUP(((YEAR(M$3)-YEAR($E16))*12+MONTH(M$3)-MONTH($E16))/$G16,0)*$G16)+$G16),EDATE($E16,MAX(0,ROUNDUP(((YEAR(M$3)-YEAR($E16))*12+MONTH(M$3)-MONTH($E16))/$G16,0)*$G16)))&gt;=M$3,IF(EDATE($E16,MAX(0,ROUNDUP(((YEAR(M$3)-YEAR($E16))*12+MONTH(M$3)-MONTH($E16))/$G16,0)*$G16))&lt;M$3,EDATE($E16,MAX(0,ROUNDUP(((YEAR(M$3)-YEAR($E16))*12+MONTH(M$3)-MONTH($E16))/$G16,0)*$G16)+$G16),EDATE($E16,MAX(0,ROUNDUP(((YEAR(M$3)-YEAR($E16))*12+MONTH(M$3)-MONTH($E16))/$G16,0)*$G16)))&lt;=IF($F16="",M$4,MIN(M$4,$F16))),1,0)))))</f>
        <v>0</v>
      </c>
      <c r="N16" s="25" t="n">
        <f aca="false">IF(OR($C16="",$C16=0,$E16="",$B16="",$G16=-2),0,$C16*IF($G16=0,IF(IF($F16="",N$4,MIN(N$4,$F16))&lt;$E16,0,MAX(0,INT((IF($F16="",N$4,MIN(N$4,$F16))-$E16)/7)+1-MAX(0,ROUNDUP((N$3-$E16)/7,0)))),IF($G16=101,(AND(EOMONTH(N$3,0)&gt;=MAX(N$3,$E16),EOMONTH(N$3,0)&lt;=IF($F16="",N$4,MIN(N$4,$F16)))*1+AND(EOMONTH(N$4,0)&lt;&gt;EOMONTH(N$3,0),EOMONTH(N$4,0)&gt;=MAX(N$3,$E16),EOMONTH(N$4,0)&lt;=IF($F16="",N$4,MIN(N$4,$F16)))*1),IF($G16=102,(AND(WORKDAY(EOMONTH(N$3,0)+1,-3)&gt;=MAX(N$3,$E16),WORKDAY(EOMONTH(N$3,0)+1,-3)&lt;=IF($F16="",N$4,MIN(N$4,$F16)))*1+AND(WORKDAY(EOMONTH(N$4,0)+1,-3)&lt;&gt;WORKDAY(EOMONTH(N$3,0)+1,-3),WORKDAY(EOMONTH(N$4,0)+1,-3)&gt;=MAX(N$3,$E16),WORKDAY(EOMONTH(N$4,0)+1,-3)&lt;=IF($F16="",N$4,MIN(N$4,$F16)))*1),IF(AND(IF(EDATE($E16,MAX(0,ROUNDUP(((YEAR(N$3)-YEAR($E16))*12+MONTH(N$3)-MONTH($E16))/$G16,0)*$G16))&lt;N$3,EDATE($E16,MAX(0,ROUNDUP(((YEAR(N$3)-YEAR($E16))*12+MONTH(N$3)-MONTH($E16))/$G16,0)*$G16)+$G16),EDATE($E16,MAX(0,ROUNDUP(((YEAR(N$3)-YEAR($E16))*12+MONTH(N$3)-MONTH($E16))/$G16,0)*$G16)))&gt;=N$3,IF(EDATE($E16,MAX(0,ROUNDUP(((YEAR(N$3)-YEAR($E16))*12+MONTH(N$3)-MONTH($E16))/$G16,0)*$G16))&lt;N$3,EDATE($E16,MAX(0,ROUNDUP(((YEAR(N$3)-YEAR($E16))*12+MONTH(N$3)-MONTH($E16))/$G16,0)*$G16)+$G16),EDATE($E16,MAX(0,ROUNDUP(((YEAR(N$3)-YEAR($E16))*12+MONTH(N$3)-MONTH($E16))/$G16,0)*$G16)))&lt;=IF($F16="",N$4,MIN(N$4,$F16))),1,0)))))</f>
        <v>0</v>
      </c>
      <c r="O16" s="25" t="n">
        <f aca="false">IF(OR($C16="",$C16=0,$E16="",$B16="",$G16=-2),0,$C16*IF($G16=0,IF(IF($F16="",O$4,MIN(O$4,$F16))&lt;$E16,0,MAX(0,INT((IF($F16="",O$4,MIN(O$4,$F16))-$E16)/7)+1-MAX(0,ROUNDUP((O$3-$E16)/7,0)))),IF($G16=101,(AND(EOMONTH(O$3,0)&gt;=MAX(O$3,$E16),EOMONTH(O$3,0)&lt;=IF($F16="",O$4,MIN(O$4,$F16)))*1+AND(EOMONTH(O$4,0)&lt;&gt;EOMONTH(O$3,0),EOMONTH(O$4,0)&gt;=MAX(O$3,$E16),EOMONTH(O$4,0)&lt;=IF($F16="",O$4,MIN(O$4,$F16)))*1),IF($G16=102,(AND(WORKDAY(EOMONTH(O$3,0)+1,-3)&gt;=MAX(O$3,$E16),WORKDAY(EOMONTH(O$3,0)+1,-3)&lt;=IF($F16="",O$4,MIN(O$4,$F16)))*1+AND(WORKDAY(EOMONTH(O$4,0)+1,-3)&lt;&gt;WORKDAY(EOMONTH(O$3,0)+1,-3),WORKDAY(EOMONTH(O$4,0)+1,-3)&gt;=MAX(O$3,$E16),WORKDAY(EOMONTH(O$4,0)+1,-3)&lt;=IF($F16="",O$4,MIN(O$4,$F16)))*1),IF(AND(IF(EDATE($E16,MAX(0,ROUNDUP(((YEAR(O$3)-YEAR($E16))*12+MONTH(O$3)-MONTH($E16))/$G16,0)*$G16))&lt;O$3,EDATE($E16,MAX(0,ROUNDUP(((YEAR(O$3)-YEAR($E16))*12+MONTH(O$3)-MONTH($E16))/$G16,0)*$G16)+$G16),EDATE($E16,MAX(0,ROUNDUP(((YEAR(O$3)-YEAR($E16))*12+MONTH(O$3)-MONTH($E16))/$G16,0)*$G16)))&gt;=O$3,IF(EDATE($E16,MAX(0,ROUNDUP(((YEAR(O$3)-YEAR($E16))*12+MONTH(O$3)-MONTH($E16))/$G16,0)*$G16))&lt;O$3,EDATE($E16,MAX(0,ROUNDUP(((YEAR(O$3)-YEAR($E16))*12+MONTH(O$3)-MONTH($E16))/$G16,0)*$G16)+$G16),EDATE($E16,MAX(0,ROUNDUP(((YEAR(O$3)-YEAR($E16))*12+MONTH(O$3)-MONTH($E16))/$G16,0)*$G16)))&lt;=IF($F16="",O$4,MIN(O$4,$F16))),1,0)))))</f>
        <v>0</v>
      </c>
      <c r="P16" s="25" t="n">
        <f aca="false">IF(OR($C16="",$C16=0,$E16="",$B16="",$G16=-2),0,$C16*IF($G16=0,IF(IF($F16="",P$4,MIN(P$4,$F16))&lt;$E16,0,MAX(0,INT((IF($F16="",P$4,MIN(P$4,$F16))-$E16)/7)+1-MAX(0,ROUNDUP((P$3-$E16)/7,0)))),IF($G16=101,(AND(EOMONTH(P$3,0)&gt;=MAX(P$3,$E16),EOMONTH(P$3,0)&lt;=IF($F16="",P$4,MIN(P$4,$F16)))*1+AND(EOMONTH(P$4,0)&lt;&gt;EOMONTH(P$3,0),EOMONTH(P$4,0)&gt;=MAX(P$3,$E16),EOMONTH(P$4,0)&lt;=IF($F16="",P$4,MIN(P$4,$F16)))*1),IF($G16=102,(AND(WORKDAY(EOMONTH(P$3,0)+1,-3)&gt;=MAX(P$3,$E16),WORKDAY(EOMONTH(P$3,0)+1,-3)&lt;=IF($F16="",P$4,MIN(P$4,$F16)))*1+AND(WORKDAY(EOMONTH(P$4,0)+1,-3)&lt;&gt;WORKDAY(EOMONTH(P$3,0)+1,-3),WORKDAY(EOMONTH(P$4,0)+1,-3)&gt;=MAX(P$3,$E16),WORKDAY(EOMONTH(P$4,0)+1,-3)&lt;=IF($F16="",P$4,MIN(P$4,$F16)))*1),IF(AND(IF(EDATE($E16,MAX(0,ROUNDUP(((YEAR(P$3)-YEAR($E16))*12+MONTH(P$3)-MONTH($E16))/$G16,0)*$G16))&lt;P$3,EDATE($E16,MAX(0,ROUNDUP(((YEAR(P$3)-YEAR($E16))*12+MONTH(P$3)-MONTH($E16))/$G16,0)*$G16)+$G16),EDATE($E16,MAX(0,ROUNDUP(((YEAR(P$3)-YEAR($E16))*12+MONTH(P$3)-MONTH($E16))/$G16,0)*$G16)))&gt;=P$3,IF(EDATE($E16,MAX(0,ROUNDUP(((YEAR(P$3)-YEAR($E16))*12+MONTH(P$3)-MONTH($E16))/$G16,0)*$G16))&lt;P$3,EDATE($E16,MAX(0,ROUNDUP(((YEAR(P$3)-YEAR($E16))*12+MONTH(P$3)-MONTH($E16))/$G16,0)*$G16)+$G16),EDATE($E16,MAX(0,ROUNDUP(((YEAR(P$3)-YEAR($E16))*12+MONTH(P$3)-MONTH($E16))/$G16,0)*$G16)))&lt;=IF($F16="",P$4,MIN(P$4,$F16))),1,0)))))</f>
        <v>0</v>
      </c>
      <c r="Q16" s="25" t="n">
        <f aca="false">IF(OR($C16="",$C16=0,$E16="",$B16="",$G16=-2),0,$C16*IF($G16=0,IF(IF($F16="",Q$4,MIN(Q$4,$F16))&lt;$E16,0,MAX(0,INT((IF($F16="",Q$4,MIN(Q$4,$F16))-$E16)/7)+1-MAX(0,ROUNDUP((Q$3-$E16)/7,0)))),IF($G16=101,(AND(EOMONTH(Q$3,0)&gt;=MAX(Q$3,$E16),EOMONTH(Q$3,0)&lt;=IF($F16="",Q$4,MIN(Q$4,$F16)))*1+AND(EOMONTH(Q$4,0)&lt;&gt;EOMONTH(Q$3,0),EOMONTH(Q$4,0)&gt;=MAX(Q$3,$E16),EOMONTH(Q$4,0)&lt;=IF($F16="",Q$4,MIN(Q$4,$F16)))*1),IF($G16=102,(AND(WORKDAY(EOMONTH(Q$3,0)+1,-3)&gt;=MAX(Q$3,$E16),WORKDAY(EOMONTH(Q$3,0)+1,-3)&lt;=IF($F16="",Q$4,MIN(Q$4,$F16)))*1+AND(WORKDAY(EOMONTH(Q$4,0)+1,-3)&lt;&gt;WORKDAY(EOMONTH(Q$3,0)+1,-3),WORKDAY(EOMONTH(Q$4,0)+1,-3)&gt;=MAX(Q$3,$E16),WORKDAY(EOMONTH(Q$4,0)+1,-3)&lt;=IF($F16="",Q$4,MIN(Q$4,$F16)))*1),IF(AND(IF(EDATE($E16,MAX(0,ROUNDUP(((YEAR(Q$3)-YEAR($E16))*12+MONTH(Q$3)-MONTH($E16))/$G16,0)*$G16))&lt;Q$3,EDATE($E16,MAX(0,ROUNDUP(((YEAR(Q$3)-YEAR($E16))*12+MONTH(Q$3)-MONTH($E16))/$G16,0)*$G16)+$G16),EDATE($E16,MAX(0,ROUNDUP(((YEAR(Q$3)-YEAR($E16))*12+MONTH(Q$3)-MONTH($E16))/$G16,0)*$G16)))&gt;=Q$3,IF(EDATE($E16,MAX(0,ROUNDUP(((YEAR(Q$3)-YEAR($E16))*12+MONTH(Q$3)-MONTH($E16))/$G16,0)*$G16))&lt;Q$3,EDATE($E16,MAX(0,ROUNDUP(((YEAR(Q$3)-YEAR($E16))*12+MONTH(Q$3)-MONTH($E16))/$G16,0)*$G16)+$G16),EDATE($E16,MAX(0,ROUNDUP(((YEAR(Q$3)-YEAR($E16))*12+MONTH(Q$3)-MONTH($E16))/$G16,0)*$G16)))&lt;=IF($F16="",Q$4,MIN(Q$4,$F16))),1,0)))))</f>
        <v>0</v>
      </c>
      <c r="R16" s="25" t="n">
        <f aca="false">IF(OR($C16="",$C16=0,$E16="",$B16="",$G16=-2),0,$C16*IF($G16=0,IF(IF($F16="",R$4,MIN(R$4,$F16))&lt;$E16,0,MAX(0,INT((IF($F16="",R$4,MIN(R$4,$F16))-$E16)/7)+1-MAX(0,ROUNDUP((R$3-$E16)/7,0)))),IF($G16=101,(AND(EOMONTH(R$3,0)&gt;=MAX(R$3,$E16),EOMONTH(R$3,0)&lt;=IF($F16="",R$4,MIN(R$4,$F16)))*1+AND(EOMONTH(R$4,0)&lt;&gt;EOMONTH(R$3,0),EOMONTH(R$4,0)&gt;=MAX(R$3,$E16),EOMONTH(R$4,0)&lt;=IF($F16="",R$4,MIN(R$4,$F16)))*1),IF($G16=102,(AND(WORKDAY(EOMONTH(R$3,0)+1,-3)&gt;=MAX(R$3,$E16),WORKDAY(EOMONTH(R$3,0)+1,-3)&lt;=IF($F16="",R$4,MIN(R$4,$F16)))*1+AND(WORKDAY(EOMONTH(R$4,0)+1,-3)&lt;&gt;WORKDAY(EOMONTH(R$3,0)+1,-3),WORKDAY(EOMONTH(R$4,0)+1,-3)&gt;=MAX(R$3,$E16),WORKDAY(EOMONTH(R$4,0)+1,-3)&lt;=IF($F16="",R$4,MIN(R$4,$F16)))*1),IF(AND(IF(EDATE($E16,MAX(0,ROUNDUP(((YEAR(R$3)-YEAR($E16))*12+MONTH(R$3)-MONTH($E16))/$G16,0)*$G16))&lt;R$3,EDATE($E16,MAX(0,ROUNDUP(((YEAR(R$3)-YEAR($E16))*12+MONTH(R$3)-MONTH($E16))/$G16,0)*$G16)+$G16),EDATE($E16,MAX(0,ROUNDUP(((YEAR(R$3)-YEAR($E16))*12+MONTH(R$3)-MONTH($E16))/$G16,0)*$G16)))&gt;=R$3,IF(EDATE($E16,MAX(0,ROUNDUP(((YEAR(R$3)-YEAR($E16))*12+MONTH(R$3)-MONTH($E16))/$G16,0)*$G16))&lt;R$3,EDATE($E16,MAX(0,ROUNDUP(((YEAR(R$3)-YEAR($E16))*12+MONTH(R$3)-MONTH($E16))/$G16,0)*$G16)+$G16),EDATE($E16,MAX(0,ROUNDUP(((YEAR(R$3)-YEAR($E16))*12+MONTH(R$3)-MONTH($E16))/$G16,0)*$G16)))&lt;=IF($F16="",R$4,MIN(R$4,$F16))),1,0)))))</f>
        <v>0</v>
      </c>
      <c r="S16" s="25" t="n">
        <f aca="false">IF(OR($C16="",$C16=0,$E16="",$B16="",$G16=-2),0,$C16*IF($G16=0,IF(IF($F16="",S$4,MIN(S$4,$F16))&lt;$E16,0,MAX(0,INT((IF($F16="",S$4,MIN(S$4,$F16))-$E16)/7)+1-MAX(0,ROUNDUP((S$3-$E16)/7,0)))),IF($G16=101,(AND(EOMONTH(S$3,0)&gt;=MAX(S$3,$E16),EOMONTH(S$3,0)&lt;=IF($F16="",S$4,MIN(S$4,$F16)))*1+AND(EOMONTH(S$4,0)&lt;&gt;EOMONTH(S$3,0),EOMONTH(S$4,0)&gt;=MAX(S$3,$E16),EOMONTH(S$4,0)&lt;=IF($F16="",S$4,MIN(S$4,$F16)))*1),IF($G16=102,(AND(WORKDAY(EOMONTH(S$3,0)+1,-3)&gt;=MAX(S$3,$E16),WORKDAY(EOMONTH(S$3,0)+1,-3)&lt;=IF($F16="",S$4,MIN(S$4,$F16)))*1+AND(WORKDAY(EOMONTH(S$4,0)+1,-3)&lt;&gt;WORKDAY(EOMONTH(S$3,0)+1,-3),WORKDAY(EOMONTH(S$4,0)+1,-3)&gt;=MAX(S$3,$E16),WORKDAY(EOMONTH(S$4,0)+1,-3)&lt;=IF($F16="",S$4,MIN(S$4,$F16)))*1),IF(AND(IF(EDATE($E16,MAX(0,ROUNDUP(((YEAR(S$3)-YEAR($E16))*12+MONTH(S$3)-MONTH($E16))/$G16,0)*$G16))&lt;S$3,EDATE($E16,MAX(0,ROUNDUP(((YEAR(S$3)-YEAR($E16))*12+MONTH(S$3)-MONTH($E16))/$G16,0)*$G16)+$G16),EDATE($E16,MAX(0,ROUNDUP(((YEAR(S$3)-YEAR($E16))*12+MONTH(S$3)-MONTH($E16))/$G16,0)*$G16)))&gt;=S$3,IF(EDATE($E16,MAX(0,ROUNDUP(((YEAR(S$3)-YEAR($E16))*12+MONTH(S$3)-MONTH($E16))/$G16,0)*$G16))&lt;S$3,EDATE($E16,MAX(0,ROUNDUP(((YEAR(S$3)-YEAR($E16))*12+MONTH(S$3)-MONTH($E16))/$G16,0)*$G16)+$G16),EDATE($E16,MAX(0,ROUNDUP(((YEAR(S$3)-YEAR($E16))*12+MONTH(S$3)-MONTH($E16))/$G16,0)*$G16)))&lt;=IF($F16="",S$4,MIN(S$4,$F16))),1,0)))))</f>
        <v>0</v>
      </c>
      <c r="T16" s="25" t="n">
        <f aca="false">IF(OR($C16="",$C16=0,$E16="",$B16="",$G16=-2),0,$C16*IF($G16=0,IF(IF($F16="",T$4,MIN(T$4,$F16))&lt;$E16,0,MAX(0,INT((IF($F16="",T$4,MIN(T$4,$F16))-$E16)/7)+1-MAX(0,ROUNDUP((T$3-$E16)/7,0)))),IF($G16=101,(AND(EOMONTH(T$3,0)&gt;=MAX(T$3,$E16),EOMONTH(T$3,0)&lt;=IF($F16="",T$4,MIN(T$4,$F16)))*1+AND(EOMONTH(T$4,0)&lt;&gt;EOMONTH(T$3,0),EOMONTH(T$4,0)&gt;=MAX(T$3,$E16),EOMONTH(T$4,0)&lt;=IF($F16="",T$4,MIN(T$4,$F16)))*1),IF($G16=102,(AND(WORKDAY(EOMONTH(T$3,0)+1,-3)&gt;=MAX(T$3,$E16),WORKDAY(EOMONTH(T$3,0)+1,-3)&lt;=IF($F16="",T$4,MIN(T$4,$F16)))*1+AND(WORKDAY(EOMONTH(T$4,0)+1,-3)&lt;&gt;WORKDAY(EOMONTH(T$3,0)+1,-3),WORKDAY(EOMONTH(T$4,0)+1,-3)&gt;=MAX(T$3,$E16),WORKDAY(EOMONTH(T$4,0)+1,-3)&lt;=IF($F16="",T$4,MIN(T$4,$F16)))*1),IF(AND(IF(EDATE($E16,MAX(0,ROUNDUP(((YEAR(T$3)-YEAR($E16))*12+MONTH(T$3)-MONTH($E16))/$G16,0)*$G16))&lt;T$3,EDATE($E16,MAX(0,ROUNDUP(((YEAR(T$3)-YEAR($E16))*12+MONTH(T$3)-MONTH($E16))/$G16,0)*$G16)+$G16),EDATE($E16,MAX(0,ROUNDUP(((YEAR(T$3)-YEAR($E16))*12+MONTH(T$3)-MONTH($E16))/$G16,0)*$G16)))&gt;=T$3,IF(EDATE($E16,MAX(0,ROUNDUP(((YEAR(T$3)-YEAR($E16))*12+MONTH(T$3)-MONTH($E16))/$G16,0)*$G16))&lt;T$3,EDATE($E16,MAX(0,ROUNDUP(((YEAR(T$3)-YEAR($E16))*12+MONTH(T$3)-MONTH($E16))/$G16,0)*$G16)+$G16),EDATE($E16,MAX(0,ROUNDUP(((YEAR(T$3)-YEAR($E16))*12+MONTH(T$3)-MONTH($E16))/$G16,0)*$G16)))&lt;=IF($F16="",T$4,MIN(T$4,$F16))),1,0)))))</f>
        <v>0</v>
      </c>
      <c r="U16" s="25" t="n">
        <f aca="false">IF(OR($C16="",$C16=0,$E16="",$B16="",$G16=-2),0,$C16*IF($G16=0,IF(IF($F16="",U$4,MIN(U$4,$F16))&lt;$E16,0,MAX(0,INT((IF($F16="",U$4,MIN(U$4,$F16))-$E16)/7)+1-MAX(0,ROUNDUP((U$3-$E16)/7,0)))),IF($G16=101,(AND(EOMONTH(U$3,0)&gt;=MAX(U$3,$E16),EOMONTH(U$3,0)&lt;=IF($F16="",U$4,MIN(U$4,$F16)))*1+AND(EOMONTH(U$4,0)&lt;&gt;EOMONTH(U$3,0),EOMONTH(U$4,0)&gt;=MAX(U$3,$E16),EOMONTH(U$4,0)&lt;=IF($F16="",U$4,MIN(U$4,$F16)))*1),IF($G16=102,(AND(WORKDAY(EOMONTH(U$3,0)+1,-3)&gt;=MAX(U$3,$E16),WORKDAY(EOMONTH(U$3,0)+1,-3)&lt;=IF($F16="",U$4,MIN(U$4,$F16)))*1+AND(WORKDAY(EOMONTH(U$4,0)+1,-3)&lt;&gt;WORKDAY(EOMONTH(U$3,0)+1,-3),WORKDAY(EOMONTH(U$4,0)+1,-3)&gt;=MAX(U$3,$E16),WORKDAY(EOMONTH(U$4,0)+1,-3)&lt;=IF($F16="",U$4,MIN(U$4,$F16)))*1),IF(AND(IF(EDATE($E16,MAX(0,ROUNDUP(((YEAR(U$3)-YEAR($E16))*12+MONTH(U$3)-MONTH($E16))/$G16,0)*$G16))&lt;U$3,EDATE($E16,MAX(0,ROUNDUP(((YEAR(U$3)-YEAR($E16))*12+MONTH(U$3)-MONTH($E16))/$G16,0)*$G16)+$G16),EDATE($E16,MAX(0,ROUNDUP(((YEAR(U$3)-YEAR($E16))*12+MONTH(U$3)-MONTH($E16))/$G16,0)*$G16)))&gt;=U$3,IF(EDATE($E16,MAX(0,ROUNDUP(((YEAR(U$3)-YEAR($E16))*12+MONTH(U$3)-MONTH($E16))/$G16,0)*$G16))&lt;U$3,EDATE($E16,MAX(0,ROUNDUP(((YEAR(U$3)-YEAR($E16))*12+MONTH(U$3)-MONTH($E16))/$G16,0)*$G16)+$G16),EDATE($E16,MAX(0,ROUNDUP(((YEAR(U$3)-YEAR($E16))*12+MONTH(U$3)-MONTH($E16))/$G16,0)*$G16)))&lt;=IF($F16="",U$4,MIN(U$4,$F16))),1,0)))))</f>
        <v>0</v>
      </c>
      <c r="V16" s="25" t="n">
        <f aca="false">IF(OR($C16="",$C16=0,$E16="",$B16="",$G16=-2),0,$C16*IF($G16=0,IF(IF($F16="",V$4,MIN(V$4,$F16))&lt;$E16,0,MAX(0,INT((IF($F16="",V$4,MIN(V$4,$F16))-$E16)/7)+1-MAX(0,ROUNDUP((V$3-$E16)/7,0)))),IF($G16=101,(AND(EOMONTH(V$3,0)&gt;=MAX(V$3,$E16),EOMONTH(V$3,0)&lt;=IF($F16="",V$4,MIN(V$4,$F16)))*1+AND(EOMONTH(V$4,0)&lt;&gt;EOMONTH(V$3,0),EOMONTH(V$4,0)&gt;=MAX(V$3,$E16),EOMONTH(V$4,0)&lt;=IF($F16="",V$4,MIN(V$4,$F16)))*1),IF($G16=102,(AND(WORKDAY(EOMONTH(V$3,0)+1,-3)&gt;=MAX(V$3,$E16),WORKDAY(EOMONTH(V$3,0)+1,-3)&lt;=IF($F16="",V$4,MIN(V$4,$F16)))*1+AND(WORKDAY(EOMONTH(V$4,0)+1,-3)&lt;&gt;WORKDAY(EOMONTH(V$3,0)+1,-3),WORKDAY(EOMONTH(V$4,0)+1,-3)&gt;=MAX(V$3,$E16),WORKDAY(EOMONTH(V$4,0)+1,-3)&lt;=IF($F16="",V$4,MIN(V$4,$F16)))*1),IF(AND(IF(EDATE($E16,MAX(0,ROUNDUP(((YEAR(V$3)-YEAR($E16))*12+MONTH(V$3)-MONTH($E16))/$G16,0)*$G16))&lt;V$3,EDATE($E16,MAX(0,ROUNDUP(((YEAR(V$3)-YEAR($E16))*12+MONTH(V$3)-MONTH($E16))/$G16,0)*$G16)+$G16),EDATE($E16,MAX(0,ROUNDUP(((YEAR(V$3)-YEAR($E16))*12+MONTH(V$3)-MONTH($E16))/$G16,0)*$G16)))&gt;=V$3,IF(EDATE($E16,MAX(0,ROUNDUP(((YEAR(V$3)-YEAR($E16))*12+MONTH(V$3)-MONTH($E16))/$G16,0)*$G16))&lt;V$3,EDATE($E16,MAX(0,ROUNDUP(((YEAR(V$3)-YEAR($E16))*12+MONTH(V$3)-MONTH($E16))/$G16,0)*$G16)+$G16),EDATE($E16,MAX(0,ROUNDUP(((YEAR(V$3)-YEAR($E16))*12+MONTH(V$3)-MONTH($E16))/$G16,0)*$G16)))&lt;=IF($F16="",V$4,MIN(V$4,$F16))),1,0)))))</f>
        <v>0</v>
      </c>
      <c r="W16" s="25" t="n">
        <f aca="false">IF(OR($C16="",$C16=0,$E16="",$B16="",$G16=-2),0,$C16*IF($G16=0,IF(IF($F16="",W$4,MIN(W$4,$F16))&lt;$E16,0,MAX(0,INT((IF($F16="",W$4,MIN(W$4,$F16))-$E16)/7)+1-MAX(0,ROUNDUP((W$3-$E16)/7,0)))),IF($G16=101,(AND(EOMONTH(W$3,0)&gt;=MAX(W$3,$E16),EOMONTH(W$3,0)&lt;=IF($F16="",W$4,MIN(W$4,$F16)))*1+AND(EOMONTH(W$4,0)&lt;&gt;EOMONTH(W$3,0),EOMONTH(W$4,0)&gt;=MAX(W$3,$E16),EOMONTH(W$4,0)&lt;=IF($F16="",W$4,MIN(W$4,$F16)))*1),IF($G16=102,(AND(WORKDAY(EOMONTH(W$3,0)+1,-3)&gt;=MAX(W$3,$E16),WORKDAY(EOMONTH(W$3,0)+1,-3)&lt;=IF($F16="",W$4,MIN(W$4,$F16)))*1+AND(WORKDAY(EOMONTH(W$4,0)+1,-3)&lt;&gt;WORKDAY(EOMONTH(W$3,0)+1,-3),WORKDAY(EOMONTH(W$4,0)+1,-3)&gt;=MAX(W$3,$E16),WORKDAY(EOMONTH(W$4,0)+1,-3)&lt;=IF($F16="",W$4,MIN(W$4,$F16)))*1),IF(AND(IF(EDATE($E16,MAX(0,ROUNDUP(((YEAR(W$3)-YEAR($E16))*12+MONTH(W$3)-MONTH($E16))/$G16,0)*$G16))&lt;W$3,EDATE($E16,MAX(0,ROUNDUP(((YEAR(W$3)-YEAR($E16))*12+MONTH(W$3)-MONTH($E16))/$G16,0)*$G16)+$G16),EDATE($E16,MAX(0,ROUNDUP(((YEAR(W$3)-YEAR($E16))*12+MONTH(W$3)-MONTH($E16))/$G16,0)*$G16)))&gt;=W$3,IF(EDATE($E16,MAX(0,ROUNDUP(((YEAR(W$3)-YEAR($E16))*12+MONTH(W$3)-MONTH($E16))/$G16,0)*$G16))&lt;W$3,EDATE($E16,MAX(0,ROUNDUP(((YEAR(W$3)-YEAR($E16))*12+MONTH(W$3)-MONTH($E16))/$G16,0)*$G16)+$G16),EDATE($E16,MAX(0,ROUNDUP(((YEAR(W$3)-YEAR($E16))*12+MONTH(W$3)-MONTH($E16))/$G16,0)*$G16)))&lt;=IF($F16="",W$4,MIN(W$4,$F16))),1,0)))))</f>
        <v>0</v>
      </c>
      <c r="X16" s="25" t="n">
        <f aca="false">IF(OR($C16="",$C16=0,$E16="",$B16="",$G16=-2),0,$C16*IF($G16=0,IF(IF($F16="",X$4,MIN(X$4,$F16))&lt;$E16,0,MAX(0,INT((IF($F16="",X$4,MIN(X$4,$F16))-$E16)/7)+1-MAX(0,ROUNDUP((X$3-$E16)/7,0)))),IF($G16=101,(AND(EOMONTH(X$3,0)&gt;=MAX(X$3,$E16),EOMONTH(X$3,0)&lt;=IF($F16="",X$4,MIN(X$4,$F16)))*1+AND(EOMONTH(X$4,0)&lt;&gt;EOMONTH(X$3,0),EOMONTH(X$4,0)&gt;=MAX(X$3,$E16),EOMONTH(X$4,0)&lt;=IF($F16="",X$4,MIN(X$4,$F16)))*1),IF($G16=102,(AND(WORKDAY(EOMONTH(X$3,0)+1,-3)&gt;=MAX(X$3,$E16),WORKDAY(EOMONTH(X$3,0)+1,-3)&lt;=IF($F16="",X$4,MIN(X$4,$F16)))*1+AND(WORKDAY(EOMONTH(X$4,0)+1,-3)&lt;&gt;WORKDAY(EOMONTH(X$3,0)+1,-3),WORKDAY(EOMONTH(X$4,0)+1,-3)&gt;=MAX(X$3,$E16),WORKDAY(EOMONTH(X$4,0)+1,-3)&lt;=IF($F16="",X$4,MIN(X$4,$F16)))*1),IF(AND(IF(EDATE($E16,MAX(0,ROUNDUP(((YEAR(X$3)-YEAR($E16))*12+MONTH(X$3)-MONTH($E16))/$G16,0)*$G16))&lt;X$3,EDATE($E16,MAX(0,ROUNDUP(((YEAR(X$3)-YEAR($E16))*12+MONTH(X$3)-MONTH($E16))/$G16,0)*$G16)+$G16),EDATE($E16,MAX(0,ROUNDUP(((YEAR(X$3)-YEAR($E16))*12+MONTH(X$3)-MONTH($E16))/$G16,0)*$G16)))&gt;=X$3,IF(EDATE($E16,MAX(0,ROUNDUP(((YEAR(X$3)-YEAR($E16))*12+MONTH(X$3)-MONTH($E16))/$G16,0)*$G16))&lt;X$3,EDATE($E16,MAX(0,ROUNDUP(((YEAR(X$3)-YEAR($E16))*12+MONTH(X$3)-MONTH($E16))/$G16,0)*$G16)+$G16),EDATE($E16,MAX(0,ROUNDUP(((YEAR(X$3)-YEAR($E16))*12+MONTH(X$3)-MONTH($E16))/$G16,0)*$G16)))&lt;=IF($F16="",X$4,MIN(X$4,$F16))),1,0)))))</f>
        <v>0</v>
      </c>
      <c r="Y16" s="25" t="n">
        <f aca="false">IF(OR($C16="",$C16=0,$E16="",$B16="",$G16=-2),0,$C16*IF($G16=0,IF(IF($F16="",Y$4,MIN(Y$4,$F16))&lt;$E16,0,MAX(0,INT((IF($F16="",Y$4,MIN(Y$4,$F16))-$E16)/7)+1-MAX(0,ROUNDUP((Y$3-$E16)/7,0)))),IF($G16=101,(AND(EOMONTH(Y$3,0)&gt;=MAX(Y$3,$E16),EOMONTH(Y$3,0)&lt;=IF($F16="",Y$4,MIN(Y$4,$F16)))*1+AND(EOMONTH(Y$4,0)&lt;&gt;EOMONTH(Y$3,0),EOMONTH(Y$4,0)&gt;=MAX(Y$3,$E16),EOMONTH(Y$4,0)&lt;=IF($F16="",Y$4,MIN(Y$4,$F16)))*1),IF($G16=102,(AND(WORKDAY(EOMONTH(Y$3,0)+1,-3)&gt;=MAX(Y$3,$E16),WORKDAY(EOMONTH(Y$3,0)+1,-3)&lt;=IF($F16="",Y$4,MIN(Y$4,$F16)))*1+AND(WORKDAY(EOMONTH(Y$4,0)+1,-3)&lt;&gt;WORKDAY(EOMONTH(Y$3,0)+1,-3),WORKDAY(EOMONTH(Y$4,0)+1,-3)&gt;=MAX(Y$3,$E16),WORKDAY(EOMONTH(Y$4,0)+1,-3)&lt;=IF($F16="",Y$4,MIN(Y$4,$F16)))*1),IF(AND(IF(EDATE($E16,MAX(0,ROUNDUP(((YEAR(Y$3)-YEAR($E16))*12+MONTH(Y$3)-MONTH($E16))/$G16,0)*$G16))&lt;Y$3,EDATE($E16,MAX(0,ROUNDUP(((YEAR(Y$3)-YEAR($E16))*12+MONTH(Y$3)-MONTH($E16))/$G16,0)*$G16)+$G16),EDATE($E16,MAX(0,ROUNDUP(((YEAR(Y$3)-YEAR($E16))*12+MONTH(Y$3)-MONTH($E16))/$G16,0)*$G16)))&gt;=Y$3,IF(EDATE($E16,MAX(0,ROUNDUP(((YEAR(Y$3)-YEAR($E16))*12+MONTH(Y$3)-MONTH($E16))/$G16,0)*$G16))&lt;Y$3,EDATE($E16,MAX(0,ROUNDUP(((YEAR(Y$3)-YEAR($E16))*12+MONTH(Y$3)-MONTH($E16))/$G16,0)*$G16)+$G16),EDATE($E16,MAX(0,ROUNDUP(((YEAR(Y$3)-YEAR($E16))*12+MONTH(Y$3)-MONTH($E16))/$G16,0)*$G16)))&lt;=IF($F16="",Y$4,MIN(Y$4,$F16))),1,0)))))</f>
        <v>0</v>
      </c>
      <c r="Z16" s="25" t="n">
        <f aca="false">IF(OR($C16="",$C16=0,$E16="",$B16="",$G16=-2),0,$C16*IF($G16=0,IF(IF($F16="",Z$4,MIN(Z$4,$F16))&lt;$E16,0,MAX(0,INT((IF($F16="",Z$4,MIN(Z$4,$F16))-$E16)/7)+1-MAX(0,ROUNDUP((Z$3-$E16)/7,0)))),IF($G16=101,(AND(EOMONTH(Z$3,0)&gt;=MAX(Z$3,$E16),EOMONTH(Z$3,0)&lt;=IF($F16="",Z$4,MIN(Z$4,$F16)))*1+AND(EOMONTH(Z$4,0)&lt;&gt;EOMONTH(Z$3,0),EOMONTH(Z$4,0)&gt;=MAX(Z$3,$E16),EOMONTH(Z$4,0)&lt;=IF($F16="",Z$4,MIN(Z$4,$F16)))*1),IF($G16=102,(AND(WORKDAY(EOMONTH(Z$3,0)+1,-3)&gt;=MAX(Z$3,$E16),WORKDAY(EOMONTH(Z$3,0)+1,-3)&lt;=IF($F16="",Z$4,MIN(Z$4,$F16)))*1+AND(WORKDAY(EOMONTH(Z$4,0)+1,-3)&lt;&gt;WORKDAY(EOMONTH(Z$3,0)+1,-3),WORKDAY(EOMONTH(Z$4,0)+1,-3)&gt;=MAX(Z$3,$E16),WORKDAY(EOMONTH(Z$4,0)+1,-3)&lt;=IF($F16="",Z$4,MIN(Z$4,$F16)))*1),IF(AND(IF(EDATE($E16,MAX(0,ROUNDUP(((YEAR(Z$3)-YEAR($E16))*12+MONTH(Z$3)-MONTH($E16))/$G16,0)*$G16))&lt;Z$3,EDATE($E16,MAX(0,ROUNDUP(((YEAR(Z$3)-YEAR($E16))*12+MONTH(Z$3)-MONTH($E16))/$G16,0)*$G16)+$G16),EDATE($E16,MAX(0,ROUNDUP(((YEAR(Z$3)-YEAR($E16))*12+MONTH(Z$3)-MONTH($E16))/$G16,0)*$G16)))&gt;=Z$3,IF(EDATE($E16,MAX(0,ROUNDUP(((YEAR(Z$3)-YEAR($E16))*12+MONTH(Z$3)-MONTH($E16))/$G16,0)*$G16))&lt;Z$3,EDATE($E16,MAX(0,ROUNDUP(((YEAR(Z$3)-YEAR($E16))*12+MONTH(Z$3)-MONTH($E16))/$G16,0)*$G16)+$G16),EDATE($E16,MAX(0,ROUNDUP(((YEAR(Z$3)-YEAR($E16))*12+MONTH(Z$3)-MONTH($E16))/$G16,0)*$G16)))&lt;=IF($F16="",Z$4,MIN(Z$4,$F16))),1,0)))))</f>
        <v>0</v>
      </c>
      <c r="AA16" s="25" t="n">
        <f aca="false">IF(OR($C16="",$C16=0,$E16="",$B16="",$G16=-2),0,$C16*IF($G16=0,IF(IF($F16="",AA$4,MIN(AA$4,$F16))&lt;$E16,0,MAX(0,INT((IF($F16="",AA$4,MIN(AA$4,$F16))-$E16)/7)+1-MAX(0,ROUNDUP((AA$3-$E16)/7,0)))),IF($G16=101,(AND(EOMONTH(AA$3,0)&gt;=MAX(AA$3,$E16),EOMONTH(AA$3,0)&lt;=IF($F16="",AA$4,MIN(AA$4,$F16)))*1+AND(EOMONTH(AA$4,0)&lt;&gt;EOMONTH(AA$3,0),EOMONTH(AA$4,0)&gt;=MAX(AA$3,$E16),EOMONTH(AA$4,0)&lt;=IF($F16="",AA$4,MIN(AA$4,$F16)))*1),IF($G16=102,(AND(WORKDAY(EOMONTH(AA$3,0)+1,-3)&gt;=MAX(AA$3,$E16),WORKDAY(EOMONTH(AA$3,0)+1,-3)&lt;=IF($F16="",AA$4,MIN(AA$4,$F16)))*1+AND(WORKDAY(EOMONTH(AA$4,0)+1,-3)&lt;&gt;WORKDAY(EOMONTH(AA$3,0)+1,-3),WORKDAY(EOMONTH(AA$4,0)+1,-3)&gt;=MAX(AA$3,$E16),WORKDAY(EOMONTH(AA$4,0)+1,-3)&lt;=IF($F16="",AA$4,MIN(AA$4,$F16)))*1),IF(AND(IF(EDATE($E16,MAX(0,ROUNDUP(((YEAR(AA$3)-YEAR($E16))*12+MONTH(AA$3)-MONTH($E16))/$G16,0)*$G16))&lt;AA$3,EDATE($E16,MAX(0,ROUNDUP(((YEAR(AA$3)-YEAR($E16))*12+MONTH(AA$3)-MONTH($E16))/$G16,0)*$G16)+$G16),EDATE($E16,MAX(0,ROUNDUP(((YEAR(AA$3)-YEAR($E16))*12+MONTH(AA$3)-MONTH($E16))/$G16,0)*$G16)))&gt;=AA$3,IF(EDATE($E16,MAX(0,ROUNDUP(((YEAR(AA$3)-YEAR($E16))*12+MONTH(AA$3)-MONTH($E16))/$G16,0)*$G16))&lt;AA$3,EDATE($E16,MAX(0,ROUNDUP(((YEAR(AA$3)-YEAR($E16))*12+MONTH(AA$3)-MONTH($E16))/$G16,0)*$G16)+$G16),EDATE($E16,MAX(0,ROUNDUP(((YEAR(AA$3)-YEAR($E16))*12+MONTH(AA$3)-MONTH($E16))/$G16,0)*$G16)))&lt;=IF($F16="",AA$4,MIN(AA$4,$F16))),1,0)))))</f>
        <v>0</v>
      </c>
      <c r="AB16" s="25" t="n">
        <f aca="false">IF(OR($C16="",$C16=0,$E16="",$B16="",$G16=-2),0,$C16*IF($G16=0,IF(IF($F16="",AB$4,MIN(AB$4,$F16))&lt;$E16,0,MAX(0,INT((IF($F16="",AB$4,MIN(AB$4,$F16))-$E16)/7)+1-MAX(0,ROUNDUP((AB$3-$E16)/7,0)))),IF($G16=101,(AND(EOMONTH(AB$3,0)&gt;=MAX(AB$3,$E16),EOMONTH(AB$3,0)&lt;=IF($F16="",AB$4,MIN(AB$4,$F16)))*1+AND(EOMONTH(AB$4,0)&lt;&gt;EOMONTH(AB$3,0),EOMONTH(AB$4,0)&gt;=MAX(AB$3,$E16),EOMONTH(AB$4,0)&lt;=IF($F16="",AB$4,MIN(AB$4,$F16)))*1),IF($G16=102,(AND(WORKDAY(EOMONTH(AB$3,0)+1,-3)&gt;=MAX(AB$3,$E16),WORKDAY(EOMONTH(AB$3,0)+1,-3)&lt;=IF($F16="",AB$4,MIN(AB$4,$F16)))*1+AND(WORKDAY(EOMONTH(AB$4,0)+1,-3)&lt;&gt;WORKDAY(EOMONTH(AB$3,0)+1,-3),WORKDAY(EOMONTH(AB$4,0)+1,-3)&gt;=MAX(AB$3,$E16),WORKDAY(EOMONTH(AB$4,0)+1,-3)&lt;=IF($F16="",AB$4,MIN(AB$4,$F16)))*1),IF(AND(IF(EDATE($E16,MAX(0,ROUNDUP(((YEAR(AB$3)-YEAR($E16))*12+MONTH(AB$3)-MONTH($E16))/$G16,0)*$G16))&lt;AB$3,EDATE($E16,MAX(0,ROUNDUP(((YEAR(AB$3)-YEAR($E16))*12+MONTH(AB$3)-MONTH($E16))/$G16,0)*$G16)+$G16),EDATE($E16,MAX(0,ROUNDUP(((YEAR(AB$3)-YEAR($E16))*12+MONTH(AB$3)-MONTH($E16))/$G16,0)*$G16)))&gt;=AB$3,IF(EDATE($E16,MAX(0,ROUNDUP(((YEAR(AB$3)-YEAR($E16))*12+MONTH(AB$3)-MONTH($E16))/$G16,0)*$G16))&lt;AB$3,EDATE($E16,MAX(0,ROUNDUP(((YEAR(AB$3)-YEAR($E16))*12+MONTH(AB$3)-MONTH($E16))/$G16,0)*$G16)+$G16),EDATE($E16,MAX(0,ROUNDUP(((YEAR(AB$3)-YEAR($E16))*12+MONTH(AB$3)-MONTH($E16))/$G16,0)*$G16)))&lt;=IF($F16="",AB$4,MIN(AB$4,$F16))),1,0)))))</f>
        <v>0</v>
      </c>
      <c r="AC16" s="25" t="n">
        <f aca="false">IF(OR($C16="",$C16=0,$E16="",$B16="",$G16=-2),0,$C16*IF($G16=0,IF(IF($F16="",AC$4,MIN(AC$4,$F16))&lt;$E16,0,MAX(0,INT((IF($F16="",AC$4,MIN(AC$4,$F16))-$E16)/7)+1-MAX(0,ROUNDUP((AC$3-$E16)/7,0)))),IF($G16=101,(AND(EOMONTH(AC$3,0)&gt;=MAX(AC$3,$E16),EOMONTH(AC$3,0)&lt;=IF($F16="",AC$4,MIN(AC$4,$F16)))*1+AND(EOMONTH(AC$4,0)&lt;&gt;EOMONTH(AC$3,0),EOMONTH(AC$4,0)&gt;=MAX(AC$3,$E16),EOMONTH(AC$4,0)&lt;=IF($F16="",AC$4,MIN(AC$4,$F16)))*1),IF($G16=102,(AND(WORKDAY(EOMONTH(AC$3,0)+1,-3)&gt;=MAX(AC$3,$E16),WORKDAY(EOMONTH(AC$3,0)+1,-3)&lt;=IF($F16="",AC$4,MIN(AC$4,$F16)))*1+AND(WORKDAY(EOMONTH(AC$4,0)+1,-3)&lt;&gt;WORKDAY(EOMONTH(AC$3,0)+1,-3),WORKDAY(EOMONTH(AC$4,0)+1,-3)&gt;=MAX(AC$3,$E16),WORKDAY(EOMONTH(AC$4,0)+1,-3)&lt;=IF($F16="",AC$4,MIN(AC$4,$F16)))*1),IF(AND(IF(EDATE($E16,MAX(0,ROUNDUP(((YEAR(AC$3)-YEAR($E16))*12+MONTH(AC$3)-MONTH($E16))/$G16,0)*$G16))&lt;AC$3,EDATE($E16,MAX(0,ROUNDUP(((YEAR(AC$3)-YEAR($E16))*12+MONTH(AC$3)-MONTH($E16))/$G16,0)*$G16)+$G16),EDATE($E16,MAX(0,ROUNDUP(((YEAR(AC$3)-YEAR($E16))*12+MONTH(AC$3)-MONTH($E16))/$G16,0)*$G16)))&gt;=AC$3,IF(EDATE($E16,MAX(0,ROUNDUP(((YEAR(AC$3)-YEAR($E16))*12+MONTH(AC$3)-MONTH($E16))/$G16,0)*$G16))&lt;AC$3,EDATE($E16,MAX(0,ROUNDUP(((YEAR(AC$3)-YEAR($E16))*12+MONTH(AC$3)-MONTH($E16))/$G16,0)*$G16)+$G16),EDATE($E16,MAX(0,ROUNDUP(((YEAR(AC$3)-YEAR($E16))*12+MONTH(AC$3)-MONTH($E16))/$G16,0)*$G16)))&lt;=IF($F16="",AC$4,MIN(AC$4,$F16))),1,0)))))</f>
        <v>0</v>
      </c>
      <c r="AD16" s="25" t="n">
        <f aca="false">IF(OR($C16="",$C16=0,$E16="",$B16="",$G16=-2),0,$C16*IF($G16=0,IF(IF($F16="",AD$4,MIN(AD$4,$F16))&lt;$E16,0,MAX(0,INT((IF($F16="",AD$4,MIN(AD$4,$F16))-$E16)/7)+1-MAX(0,ROUNDUP((AD$3-$E16)/7,0)))),IF($G16=101,(AND(EOMONTH(AD$3,0)&gt;=MAX(AD$3,$E16),EOMONTH(AD$3,0)&lt;=IF($F16="",AD$4,MIN(AD$4,$F16)))*1+AND(EOMONTH(AD$4,0)&lt;&gt;EOMONTH(AD$3,0),EOMONTH(AD$4,0)&gt;=MAX(AD$3,$E16),EOMONTH(AD$4,0)&lt;=IF($F16="",AD$4,MIN(AD$4,$F16)))*1),IF($G16=102,(AND(WORKDAY(EOMONTH(AD$3,0)+1,-3)&gt;=MAX(AD$3,$E16),WORKDAY(EOMONTH(AD$3,0)+1,-3)&lt;=IF($F16="",AD$4,MIN(AD$4,$F16)))*1+AND(WORKDAY(EOMONTH(AD$4,0)+1,-3)&lt;&gt;WORKDAY(EOMONTH(AD$3,0)+1,-3),WORKDAY(EOMONTH(AD$4,0)+1,-3)&gt;=MAX(AD$3,$E16),WORKDAY(EOMONTH(AD$4,0)+1,-3)&lt;=IF($F16="",AD$4,MIN(AD$4,$F16)))*1),IF(AND(IF(EDATE($E16,MAX(0,ROUNDUP(((YEAR(AD$3)-YEAR($E16))*12+MONTH(AD$3)-MONTH($E16))/$G16,0)*$G16))&lt;AD$3,EDATE($E16,MAX(0,ROUNDUP(((YEAR(AD$3)-YEAR($E16))*12+MONTH(AD$3)-MONTH($E16))/$G16,0)*$G16)+$G16),EDATE($E16,MAX(0,ROUNDUP(((YEAR(AD$3)-YEAR($E16))*12+MONTH(AD$3)-MONTH($E16))/$G16,0)*$G16)))&gt;=AD$3,IF(EDATE($E16,MAX(0,ROUNDUP(((YEAR(AD$3)-YEAR($E16))*12+MONTH(AD$3)-MONTH($E16))/$G16,0)*$G16))&lt;AD$3,EDATE($E16,MAX(0,ROUNDUP(((YEAR(AD$3)-YEAR($E16))*12+MONTH(AD$3)-MONTH($E16))/$G16,0)*$G16)+$G16),EDATE($E16,MAX(0,ROUNDUP(((YEAR(AD$3)-YEAR($E16))*12+MONTH(AD$3)-MONTH($E16))/$G16,0)*$G16)))&lt;=IF($F16="",AD$4,MIN(AD$4,$F16))),1,0)))))</f>
        <v>0</v>
      </c>
      <c r="AE16" s="25" t="n">
        <f aca="false">IF(OR($C16="",$C16=0,$E16="",$B16="",$G16=-2),0,$C16*IF($G16=0,IF(IF($F16="",AE$4,MIN(AE$4,$F16))&lt;$E16,0,MAX(0,INT((IF($F16="",AE$4,MIN(AE$4,$F16))-$E16)/7)+1-MAX(0,ROUNDUP((AE$3-$E16)/7,0)))),IF($G16=101,(AND(EOMONTH(AE$3,0)&gt;=MAX(AE$3,$E16),EOMONTH(AE$3,0)&lt;=IF($F16="",AE$4,MIN(AE$4,$F16)))*1+AND(EOMONTH(AE$4,0)&lt;&gt;EOMONTH(AE$3,0),EOMONTH(AE$4,0)&gt;=MAX(AE$3,$E16),EOMONTH(AE$4,0)&lt;=IF($F16="",AE$4,MIN(AE$4,$F16)))*1),IF($G16=102,(AND(WORKDAY(EOMONTH(AE$3,0)+1,-3)&gt;=MAX(AE$3,$E16),WORKDAY(EOMONTH(AE$3,0)+1,-3)&lt;=IF($F16="",AE$4,MIN(AE$4,$F16)))*1+AND(WORKDAY(EOMONTH(AE$4,0)+1,-3)&lt;&gt;WORKDAY(EOMONTH(AE$3,0)+1,-3),WORKDAY(EOMONTH(AE$4,0)+1,-3)&gt;=MAX(AE$3,$E16),WORKDAY(EOMONTH(AE$4,0)+1,-3)&lt;=IF($F16="",AE$4,MIN(AE$4,$F16)))*1),IF(AND(IF(EDATE($E16,MAX(0,ROUNDUP(((YEAR(AE$3)-YEAR($E16))*12+MONTH(AE$3)-MONTH($E16))/$G16,0)*$G16))&lt;AE$3,EDATE($E16,MAX(0,ROUNDUP(((YEAR(AE$3)-YEAR($E16))*12+MONTH(AE$3)-MONTH($E16))/$G16,0)*$G16)+$G16),EDATE($E16,MAX(0,ROUNDUP(((YEAR(AE$3)-YEAR($E16))*12+MONTH(AE$3)-MONTH($E16))/$G16,0)*$G16)))&gt;=AE$3,IF(EDATE($E16,MAX(0,ROUNDUP(((YEAR(AE$3)-YEAR($E16))*12+MONTH(AE$3)-MONTH($E16))/$G16,0)*$G16))&lt;AE$3,EDATE($E16,MAX(0,ROUNDUP(((YEAR(AE$3)-YEAR($E16))*12+MONTH(AE$3)-MONTH($E16))/$G16,0)*$G16)+$G16),EDATE($E16,MAX(0,ROUNDUP(((YEAR(AE$3)-YEAR($E16))*12+MONTH(AE$3)-MONTH($E16))/$G16,0)*$G16)))&lt;=IF($F16="",AE$4,MIN(AE$4,$F16))),1,0)))))</f>
        <v>0</v>
      </c>
      <c r="AF16" s="25" t="n">
        <f aca="false">IF(OR($C16="",$C16=0,$E16="",$B16="",$G16=-2),0,$C16*IF($G16=0,IF(IF($F16="",AF$4,MIN(AF$4,$F16))&lt;$E16,0,MAX(0,INT((IF($F16="",AF$4,MIN(AF$4,$F16))-$E16)/7)+1-MAX(0,ROUNDUP((AF$3-$E16)/7,0)))),IF($G16=101,(AND(EOMONTH(AF$3,0)&gt;=MAX(AF$3,$E16),EOMONTH(AF$3,0)&lt;=IF($F16="",AF$4,MIN(AF$4,$F16)))*1+AND(EOMONTH(AF$4,0)&lt;&gt;EOMONTH(AF$3,0),EOMONTH(AF$4,0)&gt;=MAX(AF$3,$E16),EOMONTH(AF$4,0)&lt;=IF($F16="",AF$4,MIN(AF$4,$F16)))*1),IF($G16=102,(AND(WORKDAY(EOMONTH(AF$3,0)+1,-3)&gt;=MAX(AF$3,$E16),WORKDAY(EOMONTH(AF$3,0)+1,-3)&lt;=IF($F16="",AF$4,MIN(AF$4,$F16)))*1+AND(WORKDAY(EOMONTH(AF$4,0)+1,-3)&lt;&gt;WORKDAY(EOMONTH(AF$3,0)+1,-3),WORKDAY(EOMONTH(AF$4,0)+1,-3)&gt;=MAX(AF$3,$E16),WORKDAY(EOMONTH(AF$4,0)+1,-3)&lt;=IF($F16="",AF$4,MIN(AF$4,$F16)))*1),IF(AND(IF(EDATE($E16,MAX(0,ROUNDUP(((YEAR(AF$3)-YEAR($E16))*12+MONTH(AF$3)-MONTH($E16))/$G16,0)*$G16))&lt;AF$3,EDATE($E16,MAX(0,ROUNDUP(((YEAR(AF$3)-YEAR($E16))*12+MONTH(AF$3)-MONTH($E16))/$G16,0)*$G16)+$G16),EDATE($E16,MAX(0,ROUNDUP(((YEAR(AF$3)-YEAR($E16))*12+MONTH(AF$3)-MONTH($E16))/$G16,0)*$G16)))&gt;=AF$3,IF(EDATE($E16,MAX(0,ROUNDUP(((YEAR(AF$3)-YEAR($E16))*12+MONTH(AF$3)-MONTH($E16))/$G16,0)*$G16))&lt;AF$3,EDATE($E16,MAX(0,ROUNDUP(((YEAR(AF$3)-YEAR($E16))*12+MONTH(AF$3)-MONTH($E16))/$G16,0)*$G16)+$G16),EDATE($E16,MAX(0,ROUNDUP(((YEAR(AF$3)-YEAR($E16))*12+MONTH(AF$3)-MONTH($E16))/$G16,0)*$G16)))&lt;=IF($F16="",AF$4,MIN(AF$4,$F16))),1,0)))))</f>
        <v>0</v>
      </c>
    </row>
    <row r="17" customFormat="false" ht="15" hidden="false" customHeight="false" outlineLevel="0" collapsed="false">
      <c r="A17" s="5"/>
      <c r="B17" s="5"/>
      <c r="C17" s="8"/>
      <c r="D17" s="5"/>
      <c r="E17" s="7"/>
      <c r="F17" s="7"/>
      <c r="G17" s="24" t="n">
        <f aca="false">IFERROR(INDEX(Listen!$E$2:$E$8,MATCH(D17,Listen!$D$2:$D$8,0)),-2)</f>
        <v>-2</v>
      </c>
      <c r="H17" s="25" t="n">
        <f aca="false">IF(OR($C17="",$C17=0,$E17="",$B17="",$G17=-2),0,$C17*IF($G17=0,IF(IF($F17="",H$4,MIN(H$4,$F17))&lt;$E17,0,MAX(0,INT((IF($F17="",H$4,MIN(H$4,$F17))-$E17)/7)+1-MAX(0,ROUNDUP((H$3-$E17)/7,0)))),IF($G17=101,(AND(EOMONTH(H$3,0)&gt;=MAX(H$3,$E17),EOMONTH(H$3,0)&lt;=IF($F17="",H$4,MIN(H$4,$F17)))*1+AND(EOMONTH(H$4,0)&lt;&gt;EOMONTH(H$3,0),EOMONTH(H$4,0)&gt;=MAX(H$3,$E17),EOMONTH(H$4,0)&lt;=IF($F17="",H$4,MIN(H$4,$F17)))*1),IF($G17=102,(AND(WORKDAY(EOMONTH(H$3,0)+1,-3)&gt;=MAX(H$3,$E17),WORKDAY(EOMONTH(H$3,0)+1,-3)&lt;=IF($F17="",H$4,MIN(H$4,$F17)))*1+AND(WORKDAY(EOMONTH(H$4,0)+1,-3)&lt;&gt;WORKDAY(EOMONTH(H$3,0)+1,-3),WORKDAY(EOMONTH(H$4,0)+1,-3)&gt;=MAX(H$3,$E17),WORKDAY(EOMONTH(H$4,0)+1,-3)&lt;=IF($F17="",H$4,MIN(H$4,$F17)))*1),IF(AND(IF(EDATE($E17,MAX(0,ROUNDUP(((YEAR(H$3)-YEAR($E17))*12+MONTH(H$3)-MONTH($E17))/$G17,0)*$G17))&lt;H$3,EDATE($E17,MAX(0,ROUNDUP(((YEAR(H$3)-YEAR($E17))*12+MONTH(H$3)-MONTH($E17))/$G17,0)*$G17)+$G17),EDATE($E17,MAX(0,ROUNDUP(((YEAR(H$3)-YEAR($E17))*12+MONTH(H$3)-MONTH($E17))/$G17,0)*$G17)))&gt;=H$3,IF(EDATE($E17,MAX(0,ROUNDUP(((YEAR(H$3)-YEAR($E17))*12+MONTH(H$3)-MONTH($E17))/$G17,0)*$G17))&lt;H$3,EDATE($E17,MAX(0,ROUNDUP(((YEAR(H$3)-YEAR($E17))*12+MONTH(H$3)-MONTH($E17))/$G17,0)*$G17)+$G17),EDATE($E17,MAX(0,ROUNDUP(((YEAR(H$3)-YEAR($E17))*12+MONTH(H$3)-MONTH($E17))/$G17,0)*$G17)))&lt;=IF($F17="",H$4,MIN(H$4,$F17))),1,0)))))</f>
        <v>0</v>
      </c>
      <c r="I17" s="25" t="n">
        <f aca="false">IF(OR($C17="",$C17=0,$E17="",$B17="",$G17=-2),0,$C17*IF($G17=0,IF(IF($F17="",I$4,MIN(I$4,$F17))&lt;$E17,0,MAX(0,INT((IF($F17="",I$4,MIN(I$4,$F17))-$E17)/7)+1-MAX(0,ROUNDUP((I$3-$E17)/7,0)))),IF($G17=101,(AND(EOMONTH(I$3,0)&gt;=MAX(I$3,$E17),EOMONTH(I$3,0)&lt;=IF($F17="",I$4,MIN(I$4,$F17)))*1+AND(EOMONTH(I$4,0)&lt;&gt;EOMONTH(I$3,0),EOMONTH(I$4,0)&gt;=MAX(I$3,$E17),EOMONTH(I$4,0)&lt;=IF($F17="",I$4,MIN(I$4,$F17)))*1),IF($G17=102,(AND(WORKDAY(EOMONTH(I$3,0)+1,-3)&gt;=MAX(I$3,$E17),WORKDAY(EOMONTH(I$3,0)+1,-3)&lt;=IF($F17="",I$4,MIN(I$4,$F17)))*1+AND(WORKDAY(EOMONTH(I$4,0)+1,-3)&lt;&gt;WORKDAY(EOMONTH(I$3,0)+1,-3),WORKDAY(EOMONTH(I$4,0)+1,-3)&gt;=MAX(I$3,$E17),WORKDAY(EOMONTH(I$4,0)+1,-3)&lt;=IF($F17="",I$4,MIN(I$4,$F17)))*1),IF(AND(IF(EDATE($E17,MAX(0,ROUNDUP(((YEAR(I$3)-YEAR($E17))*12+MONTH(I$3)-MONTH($E17))/$G17,0)*$G17))&lt;I$3,EDATE($E17,MAX(0,ROUNDUP(((YEAR(I$3)-YEAR($E17))*12+MONTH(I$3)-MONTH($E17))/$G17,0)*$G17)+$G17),EDATE($E17,MAX(0,ROUNDUP(((YEAR(I$3)-YEAR($E17))*12+MONTH(I$3)-MONTH($E17))/$G17,0)*$G17)))&gt;=I$3,IF(EDATE($E17,MAX(0,ROUNDUP(((YEAR(I$3)-YEAR($E17))*12+MONTH(I$3)-MONTH($E17))/$G17,0)*$G17))&lt;I$3,EDATE($E17,MAX(0,ROUNDUP(((YEAR(I$3)-YEAR($E17))*12+MONTH(I$3)-MONTH($E17))/$G17,0)*$G17)+$G17),EDATE($E17,MAX(0,ROUNDUP(((YEAR(I$3)-YEAR($E17))*12+MONTH(I$3)-MONTH($E17))/$G17,0)*$G17)))&lt;=IF($F17="",I$4,MIN(I$4,$F17))),1,0)))))</f>
        <v>0</v>
      </c>
      <c r="J17" s="25" t="n">
        <f aca="false">IF(OR($C17="",$C17=0,$E17="",$B17="",$G17=-2),0,$C17*IF($G17=0,IF(IF($F17="",J$4,MIN(J$4,$F17))&lt;$E17,0,MAX(0,INT((IF($F17="",J$4,MIN(J$4,$F17))-$E17)/7)+1-MAX(0,ROUNDUP((J$3-$E17)/7,0)))),IF($G17=101,(AND(EOMONTH(J$3,0)&gt;=MAX(J$3,$E17),EOMONTH(J$3,0)&lt;=IF($F17="",J$4,MIN(J$4,$F17)))*1+AND(EOMONTH(J$4,0)&lt;&gt;EOMONTH(J$3,0),EOMONTH(J$4,0)&gt;=MAX(J$3,$E17),EOMONTH(J$4,0)&lt;=IF($F17="",J$4,MIN(J$4,$F17)))*1),IF($G17=102,(AND(WORKDAY(EOMONTH(J$3,0)+1,-3)&gt;=MAX(J$3,$E17),WORKDAY(EOMONTH(J$3,0)+1,-3)&lt;=IF($F17="",J$4,MIN(J$4,$F17)))*1+AND(WORKDAY(EOMONTH(J$4,0)+1,-3)&lt;&gt;WORKDAY(EOMONTH(J$3,0)+1,-3),WORKDAY(EOMONTH(J$4,0)+1,-3)&gt;=MAX(J$3,$E17),WORKDAY(EOMONTH(J$4,0)+1,-3)&lt;=IF($F17="",J$4,MIN(J$4,$F17)))*1),IF(AND(IF(EDATE($E17,MAX(0,ROUNDUP(((YEAR(J$3)-YEAR($E17))*12+MONTH(J$3)-MONTH($E17))/$G17,0)*$G17))&lt;J$3,EDATE($E17,MAX(0,ROUNDUP(((YEAR(J$3)-YEAR($E17))*12+MONTH(J$3)-MONTH($E17))/$G17,0)*$G17)+$G17),EDATE($E17,MAX(0,ROUNDUP(((YEAR(J$3)-YEAR($E17))*12+MONTH(J$3)-MONTH($E17))/$G17,0)*$G17)))&gt;=J$3,IF(EDATE($E17,MAX(0,ROUNDUP(((YEAR(J$3)-YEAR($E17))*12+MONTH(J$3)-MONTH($E17))/$G17,0)*$G17))&lt;J$3,EDATE($E17,MAX(0,ROUNDUP(((YEAR(J$3)-YEAR($E17))*12+MONTH(J$3)-MONTH($E17))/$G17,0)*$G17)+$G17),EDATE($E17,MAX(0,ROUNDUP(((YEAR(J$3)-YEAR($E17))*12+MONTH(J$3)-MONTH($E17))/$G17,0)*$G17)))&lt;=IF($F17="",J$4,MIN(J$4,$F17))),1,0)))))</f>
        <v>0</v>
      </c>
      <c r="K17" s="25" t="n">
        <f aca="false">IF(OR($C17="",$C17=0,$E17="",$B17="",$G17=-2),0,$C17*IF($G17=0,IF(IF($F17="",K$4,MIN(K$4,$F17))&lt;$E17,0,MAX(0,INT((IF($F17="",K$4,MIN(K$4,$F17))-$E17)/7)+1-MAX(0,ROUNDUP((K$3-$E17)/7,0)))),IF($G17=101,(AND(EOMONTH(K$3,0)&gt;=MAX(K$3,$E17),EOMONTH(K$3,0)&lt;=IF($F17="",K$4,MIN(K$4,$F17)))*1+AND(EOMONTH(K$4,0)&lt;&gt;EOMONTH(K$3,0),EOMONTH(K$4,0)&gt;=MAX(K$3,$E17),EOMONTH(K$4,0)&lt;=IF($F17="",K$4,MIN(K$4,$F17)))*1),IF($G17=102,(AND(WORKDAY(EOMONTH(K$3,0)+1,-3)&gt;=MAX(K$3,$E17),WORKDAY(EOMONTH(K$3,0)+1,-3)&lt;=IF($F17="",K$4,MIN(K$4,$F17)))*1+AND(WORKDAY(EOMONTH(K$4,0)+1,-3)&lt;&gt;WORKDAY(EOMONTH(K$3,0)+1,-3),WORKDAY(EOMONTH(K$4,0)+1,-3)&gt;=MAX(K$3,$E17),WORKDAY(EOMONTH(K$4,0)+1,-3)&lt;=IF($F17="",K$4,MIN(K$4,$F17)))*1),IF(AND(IF(EDATE($E17,MAX(0,ROUNDUP(((YEAR(K$3)-YEAR($E17))*12+MONTH(K$3)-MONTH($E17))/$G17,0)*$G17))&lt;K$3,EDATE($E17,MAX(0,ROUNDUP(((YEAR(K$3)-YEAR($E17))*12+MONTH(K$3)-MONTH($E17))/$G17,0)*$G17)+$G17),EDATE($E17,MAX(0,ROUNDUP(((YEAR(K$3)-YEAR($E17))*12+MONTH(K$3)-MONTH($E17))/$G17,0)*$G17)))&gt;=K$3,IF(EDATE($E17,MAX(0,ROUNDUP(((YEAR(K$3)-YEAR($E17))*12+MONTH(K$3)-MONTH($E17))/$G17,0)*$G17))&lt;K$3,EDATE($E17,MAX(0,ROUNDUP(((YEAR(K$3)-YEAR($E17))*12+MONTH(K$3)-MONTH($E17))/$G17,0)*$G17)+$G17),EDATE($E17,MAX(0,ROUNDUP(((YEAR(K$3)-YEAR($E17))*12+MONTH(K$3)-MONTH($E17))/$G17,0)*$G17)))&lt;=IF($F17="",K$4,MIN(K$4,$F17))),1,0)))))</f>
        <v>0</v>
      </c>
      <c r="L17" s="25" t="n">
        <f aca="false">IF(OR($C17="",$C17=0,$E17="",$B17="",$G17=-2),0,$C17*IF($G17=0,IF(IF($F17="",L$4,MIN(L$4,$F17))&lt;$E17,0,MAX(0,INT((IF($F17="",L$4,MIN(L$4,$F17))-$E17)/7)+1-MAX(0,ROUNDUP((L$3-$E17)/7,0)))),IF($G17=101,(AND(EOMONTH(L$3,0)&gt;=MAX(L$3,$E17),EOMONTH(L$3,0)&lt;=IF($F17="",L$4,MIN(L$4,$F17)))*1+AND(EOMONTH(L$4,0)&lt;&gt;EOMONTH(L$3,0),EOMONTH(L$4,0)&gt;=MAX(L$3,$E17),EOMONTH(L$4,0)&lt;=IF($F17="",L$4,MIN(L$4,$F17)))*1),IF($G17=102,(AND(WORKDAY(EOMONTH(L$3,0)+1,-3)&gt;=MAX(L$3,$E17),WORKDAY(EOMONTH(L$3,0)+1,-3)&lt;=IF($F17="",L$4,MIN(L$4,$F17)))*1+AND(WORKDAY(EOMONTH(L$4,0)+1,-3)&lt;&gt;WORKDAY(EOMONTH(L$3,0)+1,-3),WORKDAY(EOMONTH(L$4,0)+1,-3)&gt;=MAX(L$3,$E17),WORKDAY(EOMONTH(L$4,0)+1,-3)&lt;=IF($F17="",L$4,MIN(L$4,$F17)))*1),IF(AND(IF(EDATE($E17,MAX(0,ROUNDUP(((YEAR(L$3)-YEAR($E17))*12+MONTH(L$3)-MONTH($E17))/$G17,0)*$G17))&lt;L$3,EDATE($E17,MAX(0,ROUNDUP(((YEAR(L$3)-YEAR($E17))*12+MONTH(L$3)-MONTH($E17))/$G17,0)*$G17)+$G17),EDATE($E17,MAX(0,ROUNDUP(((YEAR(L$3)-YEAR($E17))*12+MONTH(L$3)-MONTH($E17))/$G17,0)*$G17)))&gt;=L$3,IF(EDATE($E17,MAX(0,ROUNDUP(((YEAR(L$3)-YEAR($E17))*12+MONTH(L$3)-MONTH($E17))/$G17,0)*$G17))&lt;L$3,EDATE($E17,MAX(0,ROUNDUP(((YEAR(L$3)-YEAR($E17))*12+MONTH(L$3)-MONTH($E17))/$G17,0)*$G17)+$G17),EDATE($E17,MAX(0,ROUNDUP(((YEAR(L$3)-YEAR($E17))*12+MONTH(L$3)-MONTH($E17))/$G17,0)*$G17)))&lt;=IF($F17="",L$4,MIN(L$4,$F17))),1,0)))))</f>
        <v>0</v>
      </c>
      <c r="M17" s="25" t="n">
        <f aca="false">IF(OR($C17="",$C17=0,$E17="",$B17="",$G17=-2),0,$C17*IF($G17=0,IF(IF($F17="",M$4,MIN(M$4,$F17))&lt;$E17,0,MAX(0,INT((IF($F17="",M$4,MIN(M$4,$F17))-$E17)/7)+1-MAX(0,ROUNDUP((M$3-$E17)/7,0)))),IF($G17=101,(AND(EOMONTH(M$3,0)&gt;=MAX(M$3,$E17),EOMONTH(M$3,0)&lt;=IF($F17="",M$4,MIN(M$4,$F17)))*1+AND(EOMONTH(M$4,0)&lt;&gt;EOMONTH(M$3,0),EOMONTH(M$4,0)&gt;=MAX(M$3,$E17),EOMONTH(M$4,0)&lt;=IF($F17="",M$4,MIN(M$4,$F17)))*1),IF($G17=102,(AND(WORKDAY(EOMONTH(M$3,0)+1,-3)&gt;=MAX(M$3,$E17),WORKDAY(EOMONTH(M$3,0)+1,-3)&lt;=IF($F17="",M$4,MIN(M$4,$F17)))*1+AND(WORKDAY(EOMONTH(M$4,0)+1,-3)&lt;&gt;WORKDAY(EOMONTH(M$3,0)+1,-3),WORKDAY(EOMONTH(M$4,0)+1,-3)&gt;=MAX(M$3,$E17),WORKDAY(EOMONTH(M$4,0)+1,-3)&lt;=IF($F17="",M$4,MIN(M$4,$F17)))*1),IF(AND(IF(EDATE($E17,MAX(0,ROUNDUP(((YEAR(M$3)-YEAR($E17))*12+MONTH(M$3)-MONTH($E17))/$G17,0)*$G17))&lt;M$3,EDATE($E17,MAX(0,ROUNDUP(((YEAR(M$3)-YEAR($E17))*12+MONTH(M$3)-MONTH($E17))/$G17,0)*$G17)+$G17),EDATE($E17,MAX(0,ROUNDUP(((YEAR(M$3)-YEAR($E17))*12+MONTH(M$3)-MONTH($E17))/$G17,0)*$G17)))&gt;=M$3,IF(EDATE($E17,MAX(0,ROUNDUP(((YEAR(M$3)-YEAR($E17))*12+MONTH(M$3)-MONTH($E17))/$G17,0)*$G17))&lt;M$3,EDATE($E17,MAX(0,ROUNDUP(((YEAR(M$3)-YEAR($E17))*12+MONTH(M$3)-MONTH($E17))/$G17,0)*$G17)+$G17),EDATE($E17,MAX(0,ROUNDUP(((YEAR(M$3)-YEAR($E17))*12+MONTH(M$3)-MONTH($E17))/$G17,0)*$G17)))&lt;=IF($F17="",M$4,MIN(M$4,$F17))),1,0)))))</f>
        <v>0</v>
      </c>
      <c r="N17" s="25" t="n">
        <f aca="false">IF(OR($C17="",$C17=0,$E17="",$B17="",$G17=-2),0,$C17*IF($G17=0,IF(IF($F17="",N$4,MIN(N$4,$F17))&lt;$E17,0,MAX(0,INT((IF($F17="",N$4,MIN(N$4,$F17))-$E17)/7)+1-MAX(0,ROUNDUP((N$3-$E17)/7,0)))),IF($G17=101,(AND(EOMONTH(N$3,0)&gt;=MAX(N$3,$E17),EOMONTH(N$3,0)&lt;=IF($F17="",N$4,MIN(N$4,$F17)))*1+AND(EOMONTH(N$4,0)&lt;&gt;EOMONTH(N$3,0),EOMONTH(N$4,0)&gt;=MAX(N$3,$E17),EOMONTH(N$4,0)&lt;=IF($F17="",N$4,MIN(N$4,$F17)))*1),IF($G17=102,(AND(WORKDAY(EOMONTH(N$3,0)+1,-3)&gt;=MAX(N$3,$E17),WORKDAY(EOMONTH(N$3,0)+1,-3)&lt;=IF($F17="",N$4,MIN(N$4,$F17)))*1+AND(WORKDAY(EOMONTH(N$4,0)+1,-3)&lt;&gt;WORKDAY(EOMONTH(N$3,0)+1,-3),WORKDAY(EOMONTH(N$4,0)+1,-3)&gt;=MAX(N$3,$E17),WORKDAY(EOMONTH(N$4,0)+1,-3)&lt;=IF($F17="",N$4,MIN(N$4,$F17)))*1),IF(AND(IF(EDATE($E17,MAX(0,ROUNDUP(((YEAR(N$3)-YEAR($E17))*12+MONTH(N$3)-MONTH($E17))/$G17,0)*$G17))&lt;N$3,EDATE($E17,MAX(0,ROUNDUP(((YEAR(N$3)-YEAR($E17))*12+MONTH(N$3)-MONTH($E17))/$G17,0)*$G17)+$G17),EDATE($E17,MAX(0,ROUNDUP(((YEAR(N$3)-YEAR($E17))*12+MONTH(N$3)-MONTH($E17))/$G17,0)*$G17)))&gt;=N$3,IF(EDATE($E17,MAX(0,ROUNDUP(((YEAR(N$3)-YEAR($E17))*12+MONTH(N$3)-MONTH($E17))/$G17,0)*$G17))&lt;N$3,EDATE($E17,MAX(0,ROUNDUP(((YEAR(N$3)-YEAR($E17))*12+MONTH(N$3)-MONTH($E17))/$G17,0)*$G17)+$G17),EDATE($E17,MAX(0,ROUNDUP(((YEAR(N$3)-YEAR($E17))*12+MONTH(N$3)-MONTH($E17))/$G17,0)*$G17)))&lt;=IF($F17="",N$4,MIN(N$4,$F17))),1,0)))))</f>
        <v>0</v>
      </c>
      <c r="O17" s="25" t="n">
        <f aca="false">IF(OR($C17="",$C17=0,$E17="",$B17="",$G17=-2),0,$C17*IF($G17=0,IF(IF($F17="",O$4,MIN(O$4,$F17))&lt;$E17,0,MAX(0,INT((IF($F17="",O$4,MIN(O$4,$F17))-$E17)/7)+1-MAX(0,ROUNDUP((O$3-$E17)/7,0)))),IF($G17=101,(AND(EOMONTH(O$3,0)&gt;=MAX(O$3,$E17),EOMONTH(O$3,0)&lt;=IF($F17="",O$4,MIN(O$4,$F17)))*1+AND(EOMONTH(O$4,0)&lt;&gt;EOMONTH(O$3,0),EOMONTH(O$4,0)&gt;=MAX(O$3,$E17),EOMONTH(O$4,0)&lt;=IF($F17="",O$4,MIN(O$4,$F17)))*1),IF($G17=102,(AND(WORKDAY(EOMONTH(O$3,0)+1,-3)&gt;=MAX(O$3,$E17),WORKDAY(EOMONTH(O$3,0)+1,-3)&lt;=IF($F17="",O$4,MIN(O$4,$F17)))*1+AND(WORKDAY(EOMONTH(O$4,0)+1,-3)&lt;&gt;WORKDAY(EOMONTH(O$3,0)+1,-3),WORKDAY(EOMONTH(O$4,0)+1,-3)&gt;=MAX(O$3,$E17),WORKDAY(EOMONTH(O$4,0)+1,-3)&lt;=IF($F17="",O$4,MIN(O$4,$F17)))*1),IF(AND(IF(EDATE($E17,MAX(0,ROUNDUP(((YEAR(O$3)-YEAR($E17))*12+MONTH(O$3)-MONTH($E17))/$G17,0)*$G17))&lt;O$3,EDATE($E17,MAX(0,ROUNDUP(((YEAR(O$3)-YEAR($E17))*12+MONTH(O$3)-MONTH($E17))/$G17,0)*$G17)+$G17),EDATE($E17,MAX(0,ROUNDUP(((YEAR(O$3)-YEAR($E17))*12+MONTH(O$3)-MONTH($E17))/$G17,0)*$G17)))&gt;=O$3,IF(EDATE($E17,MAX(0,ROUNDUP(((YEAR(O$3)-YEAR($E17))*12+MONTH(O$3)-MONTH($E17))/$G17,0)*$G17))&lt;O$3,EDATE($E17,MAX(0,ROUNDUP(((YEAR(O$3)-YEAR($E17))*12+MONTH(O$3)-MONTH($E17))/$G17,0)*$G17)+$G17),EDATE($E17,MAX(0,ROUNDUP(((YEAR(O$3)-YEAR($E17))*12+MONTH(O$3)-MONTH($E17))/$G17,0)*$G17)))&lt;=IF($F17="",O$4,MIN(O$4,$F17))),1,0)))))</f>
        <v>0</v>
      </c>
      <c r="P17" s="25" t="n">
        <f aca="false">IF(OR($C17="",$C17=0,$E17="",$B17="",$G17=-2),0,$C17*IF($G17=0,IF(IF($F17="",P$4,MIN(P$4,$F17))&lt;$E17,0,MAX(0,INT((IF($F17="",P$4,MIN(P$4,$F17))-$E17)/7)+1-MAX(0,ROUNDUP((P$3-$E17)/7,0)))),IF($G17=101,(AND(EOMONTH(P$3,0)&gt;=MAX(P$3,$E17),EOMONTH(P$3,0)&lt;=IF($F17="",P$4,MIN(P$4,$F17)))*1+AND(EOMONTH(P$4,0)&lt;&gt;EOMONTH(P$3,0),EOMONTH(P$4,0)&gt;=MAX(P$3,$E17),EOMONTH(P$4,0)&lt;=IF($F17="",P$4,MIN(P$4,$F17)))*1),IF($G17=102,(AND(WORKDAY(EOMONTH(P$3,0)+1,-3)&gt;=MAX(P$3,$E17),WORKDAY(EOMONTH(P$3,0)+1,-3)&lt;=IF($F17="",P$4,MIN(P$4,$F17)))*1+AND(WORKDAY(EOMONTH(P$4,0)+1,-3)&lt;&gt;WORKDAY(EOMONTH(P$3,0)+1,-3),WORKDAY(EOMONTH(P$4,0)+1,-3)&gt;=MAX(P$3,$E17),WORKDAY(EOMONTH(P$4,0)+1,-3)&lt;=IF($F17="",P$4,MIN(P$4,$F17)))*1),IF(AND(IF(EDATE($E17,MAX(0,ROUNDUP(((YEAR(P$3)-YEAR($E17))*12+MONTH(P$3)-MONTH($E17))/$G17,0)*$G17))&lt;P$3,EDATE($E17,MAX(0,ROUNDUP(((YEAR(P$3)-YEAR($E17))*12+MONTH(P$3)-MONTH($E17))/$G17,0)*$G17)+$G17),EDATE($E17,MAX(0,ROUNDUP(((YEAR(P$3)-YEAR($E17))*12+MONTH(P$3)-MONTH($E17))/$G17,0)*$G17)))&gt;=P$3,IF(EDATE($E17,MAX(0,ROUNDUP(((YEAR(P$3)-YEAR($E17))*12+MONTH(P$3)-MONTH($E17))/$G17,0)*$G17))&lt;P$3,EDATE($E17,MAX(0,ROUNDUP(((YEAR(P$3)-YEAR($E17))*12+MONTH(P$3)-MONTH($E17))/$G17,0)*$G17)+$G17),EDATE($E17,MAX(0,ROUNDUP(((YEAR(P$3)-YEAR($E17))*12+MONTH(P$3)-MONTH($E17))/$G17,0)*$G17)))&lt;=IF($F17="",P$4,MIN(P$4,$F17))),1,0)))))</f>
        <v>0</v>
      </c>
      <c r="Q17" s="25" t="n">
        <f aca="false">IF(OR($C17="",$C17=0,$E17="",$B17="",$G17=-2),0,$C17*IF($G17=0,IF(IF($F17="",Q$4,MIN(Q$4,$F17))&lt;$E17,0,MAX(0,INT((IF($F17="",Q$4,MIN(Q$4,$F17))-$E17)/7)+1-MAX(0,ROUNDUP((Q$3-$E17)/7,0)))),IF($G17=101,(AND(EOMONTH(Q$3,0)&gt;=MAX(Q$3,$E17),EOMONTH(Q$3,0)&lt;=IF($F17="",Q$4,MIN(Q$4,$F17)))*1+AND(EOMONTH(Q$4,0)&lt;&gt;EOMONTH(Q$3,0),EOMONTH(Q$4,0)&gt;=MAX(Q$3,$E17),EOMONTH(Q$4,0)&lt;=IF($F17="",Q$4,MIN(Q$4,$F17)))*1),IF($G17=102,(AND(WORKDAY(EOMONTH(Q$3,0)+1,-3)&gt;=MAX(Q$3,$E17),WORKDAY(EOMONTH(Q$3,0)+1,-3)&lt;=IF($F17="",Q$4,MIN(Q$4,$F17)))*1+AND(WORKDAY(EOMONTH(Q$4,0)+1,-3)&lt;&gt;WORKDAY(EOMONTH(Q$3,0)+1,-3),WORKDAY(EOMONTH(Q$4,0)+1,-3)&gt;=MAX(Q$3,$E17),WORKDAY(EOMONTH(Q$4,0)+1,-3)&lt;=IF($F17="",Q$4,MIN(Q$4,$F17)))*1),IF(AND(IF(EDATE($E17,MAX(0,ROUNDUP(((YEAR(Q$3)-YEAR($E17))*12+MONTH(Q$3)-MONTH($E17))/$G17,0)*$G17))&lt;Q$3,EDATE($E17,MAX(0,ROUNDUP(((YEAR(Q$3)-YEAR($E17))*12+MONTH(Q$3)-MONTH($E17))/$G17,0)*$G17)+$G17),EDATE($E17,MAX(0,ROUNDUP(((YEAR(Q$3)-YEAR($E17))*12+MONTH(Q$3)-MONTH($E17))/$G17,0)*$G17)))&gt;=Q$3,IF(EDATE($E17,MAX(0,ROUNDUP(((YEAR(Q$3)-YEAR($E17))*12+MONTH(Q$3)-MONTH($E17))/$G17,0)*$G17))&lt;Q$3,EDATE($E17,MAX(0,ROUNDUP(((YEAR(Q$3)-YEAR($E17))*12+MONTH(Q$3)-MONTH($E17))/$G17,0)*$G17)+$G17),EDATE($E17,MAX(0,ROUNDUP(((YEAR(Q$3)-YEAR($E17))*12+MONTH(Q$3)-MONTH($E17))/$G17,0)*$G17)))&lt;=IF($F17="",Q$4,MIN(Q$4,$F17))),1,0)))))</f>
        <v>0</v>
      </c>
      <c r="R17" s="25" t="n">
        <f aca="false">IF(OR($C17="",$C17=0,$E17="",$B17="",$G17=-2),0,$C17*IF($G17=0,IF(IF($F17="",R$4,MIN(R$4,$F17))&lt;$E17,0,MAX(0,INT((IF($F17="",R$4,MIN(R$4,$F17))-$E17)/7)+1-MAX(0,ROUNDUP((R$3-$E17)/7,0)))),IF($G17=101,(AND(EOMONTH(R$3,0)&gt;=MAX(R$3,$E17),EOMONTH(R$3,0)&lt;=IF($F17="",R$4,MIN(R$4,$F17)))*1+AND(EOMONTH(R$4,0)&lt;&gt;EOMONTH(R$3,0),EOMONTH(R$4,0)&gt;=MAX(R$3,$E17),EOMONTH(R$4,0)&lt;=IF($F17="",R$4,MIN(R$4,$F17)))*1),IF($G17=102,(AND(WORKDAY(EOMONTH(R$3,0)+1,-3)&gt;=MAX(R$3,$E17),WORKDAY(EOMONTH(R$3,0)+1,-3)&lt;=IF($F17="",R$4,MIN(R$4,$F17)))*1+AND(WORKDAY(EOMONTH(R$4,0)+1,-3)&lt;&gt;WORKDAY(EOMONTH(R$3,0)+1,-3),WORKDAY(EOMONTH(R$4,0)+1,-3)&gt;=MAX(R$3,$E17),WORKDAY(EOMONTH(R$4,0)+1,-3)&lt;=IF($F17="",R$4,MIN(R$4,$F17)))*1),IF(AND(IF(EDATE($E17,MAX(0,ROUNDUP(((YEAR(R$3)-YEAR($E17))*12+MONTH(R$3)-MONTH($E17))/$G17,0)*$G17))&lt;R$3,EDATE($E17,MAX(0,ROUNDUP(((YEAR(R$3)-YEAR($E17))*12+MONTH(R$3)-MONTH($E17))/$G17,0)*$G17)+$G17),EDATE($E17,MAX(0,ROUNDUP(((YEAR(R$3)-YEAR($E17))*12+MONTH(R$3)-MONTH($E17))/$G17,0)*$G17)))&gt;=R$3,IF(EDATE($E17,MAX(0,ROUNDUP(((YEAR(R$3)-YEAR($E17))*12+MONTH(R$3)-MONTH($E17))/$G17,0)*$G17))&lt;R$3,EDATE($E17,MAX(0,ROUNDUP(((YEAR(R$3)-YEAR($E17))*12+MONTH(R$3)-MONTH($E17))/$G17,0)*$G17)+$G17),EDATE($E17,MAX(0,ROUNDUP(((YEAR(R$3)-YEAR($E17))*12+MONTH(R$3)-MONTH($E17))/$G17,0)*$G17)))&lt;=IF($F17="",R$4,MIN(R$4,$F17))),1,0)))))</f>
        <v>0</v>
      </c>
      <c r="S17" s="25" t="n">
        <f aca="false">IF(OR($C17="",$C17=0,$E17="",$B17="",$G17=-2),0,$C17*IF($G17=0,IF(IF($F17="",S$4,MIN(S$4,$F17))&lt;$E17,0,MAX(0,INT((IF($F17="",S$4,MIN(S$4,$F17))-$E17)/7)+1-MAX(0,ROUNDUP((S$3-$E17)/7,0)))),IF($G17=101,(AND(EOMONTH(S$3,0)&gt;=MAX(S$3,$E17),EOMONTH(S$3,0)&lt;=IF($F17="",S$4,MIN(S$4,$F17)))*1+AND(EOMONTH(S$4,0)&lt;&gt;EOMONTH(S$3,0),EOMONTH(S$4,0)&gt;=MAX(S$3,$E17),EOMONTH(S$4,0)&lt;=IF($F17="",S$4,MIN(S$4,$F17)))*1),IF($G17=102,(AND(WORKDAY(EOMONTH(S$3,0)+1,-3)&gt;=MAX(S$3,$E17),WORKDAY(EOMONTH(S$3,0)+1,-3)&lt;=IF($F17="",S$4,MIN(S$4,$F17)))*1+AND(WORKDAY(EOMONTH(S$4,0)+1,-3)&lt;&gt;WORKDAY(EOMONTH(S$3,0)+1,-3),WORKDAY(EOMONTH(S$4,0)+1,-3)&gt;=MAX(S$3,$E17),WORKDAY(EOMONTH(S$4,0)+1,-3)&lt;=IF($F17="",S$4,MIN(S$4,$F17)))*1),IF(AND(IF(EDATE($E17,MAX(0,ROUNDUP(((YEAR(S$3)-YEAR($E17))*12+MONTH(S$3)-MONTH($E17))/$G17,0)*$G17))&lt;S$3,EDATE($E17,MAX(0,ROUNDUP(((YEAR(S$3)-YEAR($E17))*12+MONTH(S$3)-MONTH($E17))/$G17,0)*$G17)+$G17),EDATE($E17,MAX(0,ROUNDUP(((YEAR(S$3)-YEAR($E17))*12+MONTH(S$3)-MONTH($E17))/$G17,0)*$G17)))&gt;=S$3,IF(EDATE($E17,MAX(0,ROUNDUP(((YEAR(S$3)-YEAR($E17))*12+MONTH(S$3)-MONTH($E17))/$G17,0)*$G17))&lt;S$3,EDATE($E17,MAX(0,ROUNDUP(((YEAR(S$3)-YEAR($E17))*12+MONTH(S$3)-MONTH($E17))/$G17,0)*$G17)+$G17),EDATE($E17,MAX(0,ROUNDUP(((YEAR(S$3)-YEAR($E17))*12+MONTH(S$3)-MONTH($E17))/$G17,0)*$G17)))&lt;=IF($F17="",S$4,MIN(S$4,$F17))),1,0)))))</f>
        <v>0</v>
      </c>
      <c r="T17" s="25" t="n">
        <f aca="false">IF(OR($C17="",$C17=0,$E17="",$B17="",$G17=-2),0,$C17*IF($G17=0,IF(IF($F17="",T$4,MIN(T$4,$F17))&lt;$E17,0,MAX(0,INT((IF($F17="",T$4,MIN(T$4,$F17))-$E17)/7)+1-MAX(0,ROUNDUP((T$3-$E17)/7,0)))),IF($G17=101,(AND(EOMONTH(T$3,0)&gt;=MAX(T$3,$E17),EOMONTH(T$3,0)&lt;=IF($F17="",T$4,MIN(T$4,$F17)))*1+AND(EOMONTH(T$4,0)&lt;&gt;EOMONTH(T$3,0),EOMONTH(T$4,0)&gt;=MAX(T$3,$E17),EOMONTH(T$4,0)&lt;=IF($F17="",T$4,MIN(T$4,$F17)))*1),IF($G17=102,(AND(WORKDAY(EOMONTH(T$3,0)+1,-3)&gt;=MAX(T$3,$E17),WORKDAY(EOMONTH(T$3,0)+1,-3)&lt;=IF($F17="",T$4,MIN(T$4,$F17)))*1+AND(WORKDAY(EOMONTH(T$4,0)+1,-3)&lt;&gt;WORKDAY(EOMONTH(T$3,0)+1,-3),WORKDAY(EOMONTH(T$4,0)+1,-3)&gt;=MAX(T$3,$E17),WORKDAY(EOMONTH(T$4,0)+1,-3)&lt;=IF($F17="",T$4,MIN(T$4,$F17)))*1),IF(AND(IF(EDATE($E17,MAX(0,ROUNDUP(((YEAR(T$3)-YEAR($E17))*12+MONTH(T$3)-MONTH($E17))/$G17,0)*$G17))&lt;T$3,EDATE($E17,MAX(0,ROUNDUP(((YEAR(T$3)-YEAR($E17))*12+MONTH(T$3)-MONTH($E17))/$G17,0)*$G17)+$G17),EDATE($E17,MAX(0,ROUNDUP(((YEAR(T$3)-YEAR($E17))*12+MONTH(T$3)-MONTH($E17))/$G17,0)*$G17)))&gt;=T$3,IF(EDATE($E17,MAX(0,ROUNDUP(((YEAR(T$3)-YEAR($E17))*12+MONTH(T$3)-MONTH($E17))/$G17,0)*$G17))&lt;T$3,EDATE($E17,MAX(0,ROUNDUP(((YEAR(T$3)-YEAR($E17))*12+MONTH(T$3)-MONTH($E17))/$G17,0)*$G17)+$G17),EDATE($E17,MAX(0,ROUNDUP(((YEAR(T$3)-YEAR($E17))*12+MONTH(T$3)-MONTH($E17))/$G17,0)*$G17)))&lt;=IF($F17="",T$4,MIN(T$4,$F17))),1,0)))))</f>
        <v>0</v>
      </c>
      <c r="U17" s="25" t="n">
        <f aca="false">IF(OR($C17="",$C17=0,$E17="",$B17="",$G17=-2),0,$C17*IF($G17=0,IF(IF($F17="",U$4,MIN(U$4,$F17))&lt;$E17,0,MAX(0,INT((IF($F17="",U$4,MIN(U$4,$F17))-$E17)/7)+1-MAX(0,ROUNDUP((U$3-$E17)/7,0)))),IF($G17=101,(AND(EOMONTH(U$3,0)&gt;=MAX(U$3,$E17),EOMONTH(U$3,0)&lt;=IF($F17="",U$4,MIN(U$4,$F17)))*1+AND(EOMONTH(U$4,0)&lt;&gt;EOMONTH(U$3,0),EOMONTH(U$4,0)&gt;=MAX(U$3,$E17),EOMONTH(U$4,0)&lt;=IF($F17="",U$4,MIN(U$4,$F17)))*1),IF($G17=102,(AND(WORKDAY(EOMONTH(U$3,0)+1,-3)&gt;=MAX(U$3,$E17),WORKDAY(EOMONTH(U$3,0)+1,-3)&lt;=IF($F17="",U$4,MIN(U$4,$F17)))*1+AND(WORKDAY(EOMONTH(U$4,0)+1,-3)&lt;&gt;WORKDAY(EOMONTH(U$3,0)+1,-3),WORKDAY(EOMONTH(U$4,0)+1,-3)&gt;=MAX(U$3,$E17),WORKDAY(EOMONTH(U$4,0)+1,-3)&lt;=IF($F17="",U$4,MIN(U$4,$F17)))*1),IF(AND(IF(EDATE($E17,MAX(0,ROUNDUP(((YEAR(U$3)-YEAR($E17))*12+MONTH(U$3)-MONTH($E17))/$G17,0)*$G17))&lt;U$3,EDATE($E17,MAX(0,ROUNDUP(((YEAR(U$3)-YEAR($E17))*12+MONTH(U$3)-MONTH($E17))/$G17,0)*$G17)+$G17),EDATE($E17,MAX(0,ROUNDUP(((YEAR(U$3)-YEAR($E17))*12+MONTH(U$3)-MONTH($E17))/$G17,0)*$G17)))&gt;=U$3,IF(EDATE($E17,MAX(0,ROUNDUP(((YEAR(U$3)-YEAR($E17))*12+MONTH(U$3)-MONTH($E17))/$G17,0)*$G17))&lt;U$3,EDATE($E17,MAX(0,ROUNDUP(((YEAR(U$3)-YEAR($E17))*12+MONTH(U$3)-MONTH($E17))/$G17,0)*$G17)+$G17),EDATE($E17,MAX(0,ROUNDUP(((YEAR(U$3)-YEAR($E17))*12+MONTH(U$3)-MONTH($E17))/$G17,0)*$G17)))&lt;=IF($F17="",U$4,MIN(U$4,$F17))),1,0)))))</f>
        <v>0</v>
      </c>
      <c r="V17" s="25" t="n">
        <f aca="false">IF(OR($C17="",$C17=0,$E17="",$B17="",$G17=-2),0,$C17*IF($G17=0,IF(IF($F17="",V$4,MIN(V$4,$F17))&lt;$E17,0,MAX(0,INT((IF($F17="",V$4,MIN(V$4,$F17))-$E17)/7)+1-MAX(0,ROUNDUP((V$3-$E17)/7,0)))),IF($G17=101,(AND(EOMONTH(V$3,0)&gt;=MAX(V$3,$E17),EOMONTH(V$3,0)&lt;=IF($F17="",V$4,MIN(V$4,$F17)))*1+AND(EOMONTH(V$4,0)&lt;&gt;EOMONTH(V$3,0),EOMONTH(V$4,0)&gt;=MAX(V$3,$E17),EOMONTH(V$4,0)&lt;=IF($F17="",V$4,MIN(V$4,$F17)))*1),IF($G17=102,(AND(WORKDAY(EOMONTH(V$3,0)+1,-3)&gt;=MAX(V$3,$E17),WORKDAY(EOMONTH(V$3,0)+1,-3)&lt;=IF($F17="",V$4,MIN(V$4,$F17)))*1+AND(WORKDAY(EOMONTH(V$4,0)+1,-3)&lt;&gt;WORKDAY(EOMONTH(V$3,0)+1,-3),WORKDAY(EOMONTH(V$4,0)+1,-3)&gt;=MAX(V$3,$E17),WORKDAY(EOMONTH(V$4,0)+1,-3)&lt;=IF($F17="",V$4,MIN(V$4,$F17)))*1),IF(AND(IF(EDATE($E17,MAX(0,ROUNDUP(((YEAR(V$3)-YEAR($E17))*12+MONTH(V$3)-MONTH($E17))/$G17,0)*$G17))&lt;V$3,EDATE($E17,MAX(0,ROUNDUP(((YEAR(V$3)-YEAR($E17))*12+MONTH(V$3)-MONTH($E17))/$G17,0)*$G17)+$G17),EDATE($E17,MAX(0,ROUNDUP(((YEAR(V$3)-YEAR($E17))*12+MONTH(V$3)-MONTH($E17))/$G17,0)*$G17)))&gt;=V$3,IF(EDATE($E17,MAX(0,ROUNDUP(((YEAR(V$3)-YEAR($E17))*12+MONTH(V$3)-MONTH($E17))/$G17,0)*$G17))&lt;V$3,EDATE($E17,MAX(0,ROUNDUP(((YEAR(V$3)-YEAR($E17))*12+MONTH(V$3)-MONTH($E17))/$G17,0)*$G17)+$G17),EDATE($E17,MAX(0,ROUNDUP(((YEAR(V$3)-YEAR($E17))*12+MONTH(V$3)-MONTH($E17))/$G17,0)*$G17)))&lt;=IF($F17="",V$4,MIN(V$4,$F17))),1,0)))))</f>
        <v>0</v>
      </c>
      <c r="W17" s="25" t="n">
        <f aca="false">IF(OR($C17="",$C17=0,$E17="",$B17="",$G17=-2),0,$C17*IF($G17=0,IF(IF($F17="",W$4,MIN(W$4,$F17))&lt;$E17,0,MAX(0,INT((IF($F17="",W$4,MIN(W$4,$F17))-$E17)/7)+1-MAX(0,ROUNDUP((W$3-$E17)/7,0)))),IF($G17=101,(AND(EOMONTH(W$3,0)&gt;=MAX(W$3,$E17),EOMONTH(W$3,0)&lt;=IF($F17="",W$4,MIN(W$4,$F17)))*1+AND(EOMONTH(W$4,0)&lt;&gt;EOMONTH(W$3,0),EOMONTH(W$4,0)&gt;=MAX(W$3,$E17),EOMONTH(W$4,0)&lt;=IF($F17="",W$4,MIN(W$4,$F17)))*1),IF($G17=102,(AND(WORKDAY(EOMONTH(W$3,0)+1,-3)&gt;=MAX(W$3,$E17),WORKDAY(EOMONTH(W$3,0)+1,-3)&lt;=IF($F17="",W$4,MIN(W$4,$F17)))*1+AND(WORKDAY(EOMONTH(W$4,0)+1,-3)&lt;&gt;WORKDAY(EOMONTH(W$3,0)+1,-3),WORKDAY(EOMONTH(W$4,0)+1,-3)&gt;=MAX(W$3,$E17),WORKDAY(EOMONTH(W$4,0)+1,-3)&lt;=IF($F17="",W$4,MIN(W$4,$F17)))*1),IF(AND(IF(EDATE($E17,MAX(0,ROUNDUP(((YEAR(W$3)-YEAR($E17))*12+MONTH(W$3)-MONTH($E17))/$G17,0)*$G17))&lt;W$3,EDATE($E17,MAX(0,ROUNDUP(((YEAR(W$3)-YEAR($E17))*12+MONTH(W$3)-MONTH($E17))/$G17,0)*$G17)+$G17),EDATE($E17,MAX(0,ROUNDUP(((YEAR(W$3)-YEAR($E17))*12+MONTH(W$3)-MONTH($E17))/$G17,0)*$G17)))&gt;=W$3,IF(EDATE($E17,MAX(0,ROUNDUP(((YEAR(W$3)-YEAR($E17))*12+MONTH(W$3)-MONTH($E17))/$G17,0)*$G17))&lt;W$3,EDATE($E17,MAX(0,ROUNDUP(((YEAR(W$3)-YEAR($E17))*12+MONTH(W$3)-MONTH($E17))/$G17,0)*$G17)+$G17),EDATE($E17,MAX(0,ROUNDUP(((YEAR(W$3)-YEAR($E17))*12+MONTH(W$3)-MONTH($E17))/$G17,0)*$G17)))&lt;=IF($F17="",W$4,MIN(W$4,$F17))),1,0)))))</f>
        <v>0</v>
      </c>
      <c r="X17" s="25" t="n">
        <f aca="false">IF(OR($C17="",$C17=0,$E17="",$B17="",$G17=-2),0,$C17*IF($G17=0,IF(IF($F17="",X$4,MIN(X$4,$F17))&lt;$E17,0,MAX(0,INT((IF($F17="",X$4,MIN(X$4,$F17))-$E17)/7)+1-MAX(0,ROUNDUP((X$3-$E17)/7,0)))),IF($G17=101,(AND(EOMONTH(X$3,0)&gt;=MAX(X$3,$E17),EOMONTH(X$3,0)&lt;=IF($F17="",X$4,MIN(X$4,$F17)))*1+AND(EOMONTH(X$4,0)&lt;&gt;EOMONTH(X$3,0),EOMONTH(X$4,0)&gt;=MAX(X$3,$E17),EOMONTH(X$4,0)&lt;=IF($F17="",X$4,MIN(X$4,$F17)))*1),IF($G17=102,(AND(WORKDAY(EOMONTH(X$3,0)+1,-3)&gt;=MAX(X$3,$E17),WORKDAY(EOMONTH(X$3,0)+1,-3)&lt;=IF($F17="",X$4,MIN(X$4,$F17)))*1+AND(WORKDAY(EOMONTH(X$4,0)+1,-3)&lt;&gt;WORKDAY(EOMONTH(X$3,0)+1,-3),WORKDAY(EOMONTH(X$4,0)+1,-3)&gt;=MAX(X$3,$E17),WORKDAY(EOMONTH(X$4,0)+1,-3)&lt;=IF($F17="",X$4,MIN(X$4,$F17)))*1),IF(AND(IF(EDATE($E17,MAX(0,ROUNDUP(((YEAR(X$3)-YEAR($E17))*12+MONTH(X$3)-MONTH($E17))/$G17,0)*$G17))&lt;X$3,EDATE($E17,MAX(0,ROUNDUP(((YEAR(X$3)-YEAR($E17))*12+MONTH(X$3)-MONTH($E17))/$G17,0)*$G17)+$G17),EDATE($E17,MAX(0,ROUNDUP(((YEAR(X$3)-YEAR($E17))*12+MONTH(X$3)-MONTH($E17))/$G17,0)*$G17)))&gt;=X$3,IF(EDATE($E17,MAX(0,ROUNDUP(((YEAR(X$3)-YEAR($E17))*12+MONTH(X$3)-MONTH($E17))/$G17,0)*$G17))&lt;X$3,EDATE($E17,MAX(0,ROUNDUP(((YEAR(X$3)-YEAR($E17))*12+MONTH(X$3)-MONTH($E17))/$G17,0)*$G17)+$G17),EDATE($E17,MAX(0,ROUNDUP(((YEAR(X$3)-YEAR($E17))*12+MONTH(X$3)-MONTH($E17))/$G17,0)*$G17)))&lt;=IF($F17="",X$4,MIN(X$4,$F17))),1,0)))))</f>
        <v>0</v>
      </c>
      <c r="Y17" s="25" t="n">
        <f aca="false">IF(OR($C17="",$C17=0,$E17="",$B17="",$G17=-2),0,$C17*IF($G17=0,IF(IF($F17="",Y$4,MIN(Y$4,$F17))&lt;$E17,0,MAX(0,INT((IF($F17="",Y$4,MIN(Y$4,$F17))-$E17)/7)+1-MAX(0,ROUNDUP((Y$3-$E17)/7,0)))),IF($G17=101,(AND(EOMONTH(Y$3,0)&gt;=MAX(Y$3,$E17),EOMONTH(Y$3,0)&lt;=IF($F17="",Y$4,MIN(Y$4,$F17)))*1+AND(EOMONTH(Y$4,0)&lt;&gt;EOMONTH(Y$3,0),EOMONTH(Y$4,0)&gt;=MAX(Y$3,$E17),EOMONTH(Y$4,0)&lt;=IF($F17="",Y$4,MIN(Y$4,$F17)))*1),IF($G17=102,(AND(WORKDAY(EOMONTH(Y$3,0)+1,-3)&gt;=MAX(Y$3,$E17),WORKDAY(EOMONTH(Y$3,0)+1,-3)&lt;=IF($F17="",Y$4,MIN(Y$4,$F17)))*1+AND(WORKDAY(EOMONTH(Y$4,0)+1,-3)&lt;&gt;WORKDAY(EOMONTH(Y$3,0)+1,-3),WORKDAY(EOMONTH(Y$4,0)+1,-3)&gt;=MAX(Y$3,$E17),WORKDAY(EOMONTH(Y$4,0)+1,-3)&lt;=IF($F17="",Y$4,MIN(Y$4,$F17)))*1),IF(AND(IF(EDATE($E17,MAX(0,ROUNDUP(((YEAR(Y$3)-YEAR($E17))*12+MONTH(Y$3)-MONTH($E17))/$G17,0)*$G17))&lt;Y$3,EDATE($E17,MAX(0,ROUNDUP(((YEAR(Y$3)-YEAR($E17))*12+MONTH(Y$3)-MONTH($E17))/$G17,0)*$G17)+$G17),EDATE($E17,MAX(0,ROUNDUP(((YEAR(Y$3)-YEAR($E17))*12+MONTH(Y$3)-MONTH($E17))/$G17,0)*$G17)))&gt;=Y$3,IF(EDATE($E17,MAX(0,ROUNDUP(((YEAR(Y$3)-YEAR($E17))*12+MONTH(Y$3)-MONTH($E17))/$G17,0)*$G17))&lt;Y$3,EDATE($E17,MAX(0,ROUNDUP(((YEAR(Y$3)-YEAR($E17))*12+MONTH(Y$3)-MONTH($E17))/$G17,0)*$G17)+$G17),EDATE($E17,MAX(0,ROUNDUP(((YEAR(Y$3)-YEAR($E17))*12+MONTH(Y$3)-MONTH($E17))/$G17,0)*$G17)))&lt;=IF($F17="",Y$4,MIN(Y$4,$F17))),1,0)))))</f>
        <v>0</v>
      </c>
      <c r="Z17" s="25" t="n">
        <f aca="false">IF(OR($C17="",$C17=0,$E17="",$B17="",$G17=-2),0,$C17*IF($G17=0,IF(IF($F17="",Z$4,MIN(Z$4,$F17))&lt;$E17,0,MAX(0,INT((IF($F17="",Z$4,MIN(Z$4,$F17))-$E17)/7)+1-MAX(0,ROUNDUP((Z$3-$E17)/7,0)))),IF($G17=101,(AND(EOMONTH(Z$3,0)&gt;=MAX(Z$3,$E17),EOMONTH(Z$3,0)&lt;=IF($F17="",Z$4,MIN(Z$4,$F17)))*1+AND(EOMONTH(Z$4,0)&lt;&gt;EOMONTH(Z$3,0),EOMONTH(Z$4,0)&gt;=MAX(Z$3,$E17),EOMONTH(Z$4,0)&lt;=IF($F17="",Z$4,MIN(Z$4,$F17)))*1),IF($G17=102,(AND(WORKDAY(EOMONTH(Z$3,0)+1,-3)&gt;=MAX(Z$3,$E17),WORKDAY(EOMONTH(Z$3,0)+1,-3)&lt;=IF($F17="",Z$4,MIN(Z$4,$F17)))*1+AND(WORKDAY(EOMONTH(Z$4,0)+1,-3)&lt;&gt;WORKDAY(EOMONTH(Z$3,0)+1,-3),WORKDAY(EOMONTH(Z$4,0)+1,-3)&gt;=MAX(Z$3,$E17),WORKDAY(EOMONTH(Z$4,0)+1,-3)&lt;=IF($F17="",Z$4,MIN(Z$4,$F17)))*1),IF(AND(IF(EDATE($E17,MAX(0,ROUNDUP(((YEAR(Z$3)-YEAR($E17))*12+MONTH(Z$3)-MONTH($E17))/$G17,0)*$G17))&lt;Z$3,EDATE($E17,MAX(0,ROUNDUP(((YEAR(Z$3)-YEAR($E17))*12+MONTH(Z$3)-MONTH($E17))/$G17,0)*$G17)+$G17),EDATE($E17,MAX(0,ROUNDUP(((YEAR(Z$3)-YEAR($E17))*12+MONTH(Z$3)-MONTH($E17))/$G17,0)*$G17)))&gt;=Z$3,IF(EDATE($E17,MAX(0,ROUNDUP(((YEAR(Z$3)-YEAR($E17))*12+MONTH(Z$3)-MONTH($E17))/$G17,0)*$G17))&lt;Z$3,EDATE($E17,MAX(0,ROUNDUP(((YEAR(Z$3)-YEAR($E17))*12+MONTH(Z$3)-MONTH($E17))/$G17,0)*$G17)+$G17),EDATE($E17,MAX(0,ROUNDUP(((YEAR(Z$3)-YEAR($E17))*12+MONTH(Z$3)-MONTH($E17))/$G17,0)*$G17)))&lt;=IF($F17="",Z$4,MIN(Z$4,$F17))),1,0)))))</f>
        <v>0</v>
      </c>
      <c r="AA17" s="25" t="n">
        <f aca="false">IF(OR($C17="",$C17=0,$E17="",$B17="",$G17=-2),0,$C17*IF($G17=0,IF(IF($F17="",AA$4,MIN(AA$4,$F17))&lt;$E17,0,MAX(0,INT((IF($F17="",AA$4,MIN(AA$4,$F17))-$E17)/7)+1-MAX(0,ROUNDUP((AA$3-$E17)/7,0)))),IF($G17=101,(AND(EOMONTH(AA$3,0)&gt;=MAX(AA$3,$E17),EOMONTH(AA$3,0)&lt;=IF($F17="",AA$4,MIN(AA$4,$F17)))*1+AND(EOMONTH(AA$4,0)&lt;&gt;EOMONTH(AA$3,0),EOMONTH(AA$4,0)&gt;=MAX(AA$3,$E17),EOMONTH(AA$4,0)&lt;=IF($F17="",AA$4,MIN(AA$4,$F17)))*1),IF($G17=102,(AND(WORKDAY(EOMONTH(AA$3,0)+1,-3)&gt;=MAX(AA$3,$E17),WORKDAY(EOMONTH(AA$3,0)+1,-3)&lt;=IF($F17="",AA$4,MIN(AA$4,$F17)))*1+AND(WORKDAY(EOMONTH(AA$4,0)+1,-3)&lt;&gt;WORKDAY(EOMONTH(AA$3,0)+1,-3),WORKDAY(EOMONTH(AA$4,0)+1,-3)&gt;=MAX(AA$3,$E17),WORKDAY(EOMONTH(AA$4,0)+1,-3)&lt;=IF($F17="",AA$4,MIN(AA$4,$F17)))*1),IF(AND(IF(EDATE($E17,MAX(0,ROUNDUP(((YEAR(AA$3)-YEAR($E17))*12+MONTH(AA$3)-MONTH($E17))/$G17,0)*$G17))&lt;AA$3,EDATE($E17,MAX(0,ROUNDUP(((YEAR(AA$3)-YEAR($E17))*12+MONTH(AA$3)-MONTH($E17))/$G17,0)*$G17)+$G17),EDATE($E17,MAX(0,ROUNDUP(((YEAR(AA$3)-YEAR($E17))*12+MONTH(AA$3)-MONTH($E17))/$G17,0)*$G17)))&gt;=AA$3,IF(EDATE($E17,MAX(0,ROUNDUP(((YEAR(AA$3)-YEAR($E17))*12+MONTH(AA$3)-MONTH($E17))/$G17,0)*$G17))&lt;AA$3,EDATE($E17,MAX(0,ROUNDUP(((YEAR(AA$3)-YEAR($E17))*12+MONTH(AA$3)-MONTH($E17))/$G17,0)*$G17)+$G17),EDATE($E17,MAX(0,ROUNDUP(((YEAR(AA$3)-YEAR($E17))*12+MONTH(AA$3)-MONTH($E17))/$G17,0)*$G17)))&lt;=IF($F17="",AA$4,MIN(AA$4,$F17))),1,0)))))</f>
        <v>0</v>
      </c>
      <c r="AB17" s="25" t="n">
        <f aca="false">IF(OR($C17="",$C17=0,$E17="",$B17="",$G17=-2),0,$C17*IF($G17=0,IF(IF($F17="",AB$4,MIN(AB$4,$F17))&lt;$E17,0,MAX(0,INT((IF($F17="",AB$4,MIN(AB$4,$F17))-$E17)/7)+1-MAX(0,ROUNDUP((AB$3-$E17)/7,0)))),IF($G17=101,(AND(EOMONTH(AB$3,0)&gt;=MAX(AB$3,$E17),EOMONTH(AB$3,0)&lt;=IF($F17="",AB$4,MIN(AB$4,$F17)))*1+AND(EOMONTH(AB$4,0)&lt;&gt;EOMONTH(AB$3,0),EOMONTH(AB$4,0)&gt;=MAX(AB$3,$E17),EOMONTH(AB$4,0)&lt;=IF($F17="",AB$4,MIN(AB$4,$F17)))*1),IF($G17=102,(AND(WORKDAY(EOMONTH(AB$3,0)+1,-3)&gt;=MAX(AB$3,$E17),WORKDAY(EOMONTH(AB$3,0)+1,-3)&lt;=IF($F17="",AB$4,MIN(AB$4,$F17)))*1+AND(WORKDAY(EOMONTH(AB$4,0)+1,-3)&lt;&gt;WORKDAY(EOMONTH(AB$3,0)+1,-3),WORKDAY(EOMONTH(AB$4,0)+1,-3)&gt;=MAX(AB$3,$E17),WORKDAY(EOMONTH(AB$4,0)+1,-3)&lt;=IF($F17="",AB$4,MIN(AB$4,$F17)))*1),IF(AND(IF(EDATE($E17,MAX(0,ROUNDUP(((YEAR(AB$3)-YEAR($E17))*12+MONTH(AB$3)-MONTH($E17))/$G17,0)*$G17))&lt;AB$3,EDATE($E17,MAX(0,ROUNDUP(((YEAR(AB$3)-YEAR($E17))*12+MONTH(AB$3)-MONTH($E17))/$G17,0)*$G17)+$G17),EDATE($E17,MAX(0,ROUNDUP(((YEAR(AB$3)-YEAR($E17))*12+MONTH(AB$3)-MONTH($E17))/$G17,0)*$G17)))&gt;=AB$3,IF(EDATE($E17,MAX(0,ROUNDUP(((YEAR(AB$3)-YEAR($E17))*12+MONTH(AB$3)-MONTH($E17))/$G17,0)*$G17))&lt;AB$3,EDATE($E17,MAX(0,ROUNDUP(((YEAR(AB$3)-YEAR($E17))*12+MONTH(AB$3)-MONTH($E17))/$G17,0)*$G17)+$G17),EDATE($E17,MAX(0,ROUNDUP(((YEAR(AB$3)-YEAR($E17))*12+MONTH(AB$3)-MONTH($E17))/$G17,0)*$G17)))&lt;=IF($F17="",AB$4,MIN(AB$4,$F17))),1,0)))))</f>
        <v>0</v>
      </c>
      <c r="AC17" s="25" t="n">
        <f aca="false">IF(OR($C17="",$C17=0,$E17="",$B17="",$G17=-2),0,$C17*IF($G17=0,IF(IF($F17="",AC$4,MIN(AC$4,$F17))&lt;$E17,0,MAX(0,INT((IF($F17="",AC$4,MIN(AC$4,$F17))-$E17)/7)+1-MAX(0,ROUNDUP((AC$3-$E17)/7,0)))),IF($G17=101,(AND(EOMONTH(AC$3,0)&gt;=MAX(AC$3,$E17),EOMONTH(AC$3,0)&lt;=IF($F17="",AC$4,MIN(AC$4,$F17)))*1+AND(EOMONTH(AC$4,0)&lt;&gt;EOMONTH(AC$3,0),EOMONTH(AC$4,0)&gt;=MAX(AC$3,$E17),EOMONTH(AC$4,0)&lt;=IF($F17="",AC$4,MIN(AC$4,$F17)))*1),IF($G17=102,(AND(WORKDAY(EOMONTH(AC$3,0)+1,-3)&gt;=MAX(AC$3,$E17),WORKDAY(EOMONTH(AC$3,0)+1,-3)&lt;=IF($F17="",AC$4,MIN(AC$4,$F17)))*1+AND(WORKDAY(EOMONTH(AC$4,0)+1,-3)&lt;&gt;WORKDAY(EOMONTH(AC$3,0)+1,-3),WORKDAY(EOMONTH(AC$4,0)+1,-3)&gt;=MAX(AC$3,$E17),WORKDAY(EOMONTH(AC$4,0)+1,-3)&lt;=IF($F17="",AC$4,MIN(AC$4,$F17)))*1),IF(AND(IF(EDATE($E17,MAX(0,ROUNDUP(((YEAR(AC$3)-YEAR($E17))*12+MONTH(AC$3)-MONTH($E17))/$G17,0)*$G17))&lt;AC$3,EDATE($E17,MAX(0,ROUNDUP(((YEAR(AC$3)-YEAR($E17))*12+MONTH(AC$3)-MONTH($E17))/$G17,0)*$G17)+$G17),EDATE($E17,MAX(0,ROUNDUP(((YEAR(AC$3)-YEAR($E17))*12+MONTH(AC$3)-MONTH($E17))/$G17,0)*$G17)))&gt;=AC$3,IF(EDATE($E17,MAX(0,ROUNDUP(((YEAR(AC$3)-YEAR($E17))*12+MONTH(AC$3)-MONTH($E17))/$G17,0)*$G17))&lt;AC$3,EDATE($E17,MAX(0,ROUNDUP(((YEAR(AC$3)-YEAR($E17))*12+MONTH(AC$3)-MONTH($E17))/$G17,0)*$G17)+$G17),EDATE($E17,MAX(0,ROUNDUP(((YEAR(AC$3)-YEAR($E17))*12+MONTH(AC$3)-MONTH($E17))/$G17,0)*$G17)))&lt;=IF($F17="",AC$4,MIN(AC$4,$F17))),1,0)))))</f>
        <v>0</v>
      </c>
      <c r="AD17" s="25" t="n">
        <f aca="false">IF(OR($C17="",$C17=0,$E17="",$B17="",$G17=-2),0,$C17*IF($G17=0,IF(IF($F17="",AD$4,MIN(AD$4,$F17))&lt;$E17,0,MAX(0,INT((IF($F17="",AD$4,MIN(AD$4,$F17))-$E17)/7)+1-MAX(0,ROUNDUP((AD$3-$E17)/7,0)))),IF($G17=101,(AND(EOMONTH(AD$3,0)&gt;=MAX(AD$3,$E17),EOMONTH(AD$3,0)&lt;=IF($F17="",AD$4,MIN(AD$4,$F17)))*1+AND(EOMONTH(AD$4,0)&lt;&gt;EOMONTH(AD$3,0),EOMONTH(AD$4,0)&gt;=MAX(AD$3,$E17),EOMONTH(AD$4,0)&lt;=IF($F17="",AD$4,MIN(AD$4,$F17)))*1),IF($G17=102,(AND(WORKDAY(EOMONTH(AD$3,0)+1,-3)&gt;=MAX(AD$3,$E17),WORKDAY(EOMONTH(AD$3,0)+1,-3)&lt;=IF($F17="",AD$4,MIN(AD$4,$F17)))*1+AND(WORKDAY(EOMONTH(AD$4,0)+1,-3)&lt;&gt;WORKDAY(EOMONTH(AD$3,0)+1,-3),WORKDAY(EOMONTH(AD$4,0)+1,-3)&gt;=MAX(AD$3,$E17),WORKDAY(EOMONTH(AD$4,0)+1,-3)&lt;=IF($F17="",AD$4,MIN(AD$4,$F17)))*1),IF(AND(IF(EDATE($E17,MAX(0,ROUNDUP(((YEAR(AD$3)-YEAR($E17))*12+MONTH(AD$3)-MONTH($E17))/$G17,0)*$G17))&lt;AD$3,EDATE($E17,MAX(0,ROUNDUP(((YEAR(AD$3)-YEAR($E17))*12+MONTH(AD$3)-MONTH($E17))/$G17,0)*$G17)+$G17),EDATE($E17,MAX(0,ROUNDUP(((YEAR(AD$3)-YEAR($E17))*12+MONTH(AD$3)-MONTH($E17))/$G17,0)*$G17)))&gt;=AD$3,IF(EDATE($E17,MAX(0,ROUNDUP(((YEAR(AD$3)-YEAR($E17))*12+MONTH(AD$3)-MONTH($E17))/$G17,0)*$G17))&lt;AD$3,EDATE($E17,MAX(0,ROUNDUP(((YEAR(AD$3)-YEAR($E17))*12+MONTH(AD$3)-MONTH($E17))/$G17,0)*$G17)+$G17),EDATE($E17,MAX(0,ROUNDUP(((YEAR(AD$3)-YEAR($E17))*12+MONTH(AD$3)-MONTH($E17))/$G17,0)*$G17)))&lt;=IF($F17="",AD$4,MIN(AD$4,$F17))),1,0)))))</f>
        <v>0</v>
      </c>
      <c r="AE17" s="25" t="n">
        <f aca="false">IF(OR($C17="",$C17=0,$E17="",$B17="",$G17=-2),0,$C17*IF($G17=0,IF(IF($F17="",AE$4,MIN(AE$4,$F17))&lt;$E17,0,MAX(0,INT((IF($F17="",AE$4,MIN(AE$4,$F17))-$E17)/7)+1-MAX(0,ROUNDUP((AE$3-$E17)/7,0)))),IF($G17=101,(AND(EOMONTH(AE$3,0)&gt;=MAX(AE$3,$E17),EOMONTH(AE$3,0)&lt;=IF($F17="",AE$4,MIN(AE$4,$F17)))*1+AND(EOMONTH(AE$4,0)&lt;&gt;EOMONTH(AE$3,0),EOMONTH(AE$4,0)&gt;=MAX(AE$3,$E17),EOMONTH(AE$4,0)&lt;=IF($F17="",AE$4,MIN(AE$4,$F17)))*1),IF($G17=102,(AND(WORKDAY(EOMONTH(AE$3,0)+1,-3)&gt;=MAX(AE$3,$E17),WORKDAY(EOMONTH(AE$3,0)+1,-3)&lt;=IF($F17="",AE$4,MIN(AE$4,$F17)))*1+AND(WORKDAY(EOMONTH(AE$4,0)+1,-3)&lt;&gt;WORKDAY(EOMONTH(AE$3,0)+1,-3),WORKDAY(EOMONTH(AE$4,0)+1,-3)&gt;=MAX(AE$3,$E17),WORKDAY(EOMONTH(AE$4,0)+1,-3)&lt;=IF($F17="",AE$4,MIN(AE$4,$F17)))*1),IF(AND(IF(EDATE($E17,MAX(0,ROUNDUP(((YEAR(AE$3)-YEAR($E17))*12+MONTH(AE$3)-MONTH($E17))/$G17,0)*$G17))&lt;AE$3,EDATE($E17,MAX(0,ROUNDUP(((YEAR(AE$3)-YEAR($E17))*12+MONTH(AE$3)-MONTH($E17))/$G17,0)*$G17)+$G17),EDATE($E17,MAX(0,ROUNDUP(((YEAR(AE$3)-YEAR($E17))*12+MONTH(AE$3)-MONTH($E17))/$G17,0)*$G17)))&gt;=AE$3,IF(EDATE($E17,MAX(0,ROUNDUP(((YEAR(AE$3)-YEAR($E17))*12+MONTH(AE$3)-MONTH($E17))/$G17,0)*$G17))&lt;AE$3,EDATE($E17,MAX(0,ROUNDUP(((YEAR(AE$3)-YEAR($E17))*12+MONTH(AE$3)-MONTH($E17))/$G17,0)*$G17)+$G17),EDATE($E17,MAX(0,ROUNDUP(((YEAR(AE$3)-YEAR($E17))*12+MONTH(AE$3)-MONTH($E17))/$G17,0)*$G17)))&lt;=IF($F17="",AE$4,MIN(AE$4,$F17))),1,0)))))</f>
        <v>0</v>
      </c>
      <c r="AF17" s="25" t="n">
        <f aca="false">IF(OR($C17="",$C17=0,$E17="",$B17="",$G17=-2),0,$C17*IF($G17=0,IF(IF($F17="",AF$4,MIN(AF$4,$F17))&lt;$E17,0,MAX(0,INT((IF($F17="",AF$4,MIN(AF$4,$F17))-$E17)/7)+1-MAX(0,ROUNDUP((AF$3-$E17)/7,0)))),IF($G17=101,(AND(EOMONTH(AF$3,0)&gt;=MAX(AF$3,$E17),EOMONTH(AF$3,0)&lt;=IF($F17="",AF$4,MIN(AF$4,$F17)))*1+AND(EOMONTH(AF$4,0)&lt;&gt;EOMONTH(AF$3,0),EOMONTH(AF$4,0)&gt;=MAX(AF$3,$E17),EOMONTH(AF$4,0)&lt;=IF($F17="",AF$4,MIN(AF$4,$F17)))*1),IF($G17=102,(AND(WORKDAY(EOMONTH(AF$3,0)+1,-3)&gt;=MAX(AF$3,$E17),WORKDAY(EOMONTH(AF$3,0)+1,-3)&lt;=IF($F17="",AF$4,MIN(AF$4,$F17)))*1+AND(WORKDAY(EOMONTH(AF$4,0)+1,-3)&lt;&gt;WORKDAY(EOMONTH(AF$3,0)+1,-3),WORKDAY(EOMONTH(AF$4,0)+1,-3)&gt;=MAX(AF$3,$E17),WORKDAY(EOMONTH(AF$4,0)+1,-3)&lt;=IF($F17="",AF$4,MIN(AF$4,$F17)))*1),IF(AND(IF(EDATE($E17,MAX(0,ROUNDUP(((YEAR(AF$3)-YEAR($E17))*12+MONTH(AF$3)-MONTH($E17))/$G17,0)*$G17))&lt;AF$3,EDATE($E17,MAX(0,ROUNDUP(((YEAR(AF$3)-YEAR($E17))*12+MONTH(AF$3)-MONTH($E17))/$G17,0)*$G17)+$G17),EDATE($E17,MAX(0,ROUNDUP(((YEAR(AF$3)-YEAR($E17))*12+MONTH(AF$3)-MONTH($E17))/$G17,0)*$G17)))&gt;=AF$3,IF(EDATE($E17,MAX(0,ROUNDUP(((YEAR(AF$3)-YEAR($E17))*12+MONTH(AF$3)-MONTH($E17))/$G17,0)*$G17))&lt;AF$3,EDATE($E17,MAX(0,ROUNDUP(((YEAR(AF$3)-YEAR($E17))*12+MONTH(AF$3)-MONTH($E17))/$G17,0)*$G17)+$G17),EDATE($E17,MAX(0,ROUNDUP(((YEAR(AF$3)-YEAR($E17))*12+MONTH(AF$3)-MONTH($E17))/$G17,0)*$G17)))&lt;=IF($F17="",AF$4,MIN(AF$4,$F17))),1,0)))))</f>
        <v>0</v>
      </c>
    </row>
    <row r="18" customFormat="false" ht="15" hidden="false" customHeight="false" outlineLevel="0" collapsed="false">
      <c r="A18" s="5"/>
      <c r="B18" s="5"/>
      <c r="C18" s="8"/>
      <c r="D18" s="5"/>
      <c r="E18" s="7"/>
      <c r="F18" s="7"/>
      <c r="G18" s="24" t="n">
        <f aca="false">IFERROR(INDEX(Listen!$E$2:$E$8,MATCH(D18,Listen!$D$2:$D$8,0)),-2)</f>
        <v>-2</v>
      </c>
      <c r="H18" s="25" t="n">
        <f aca="false">IF(OR($C18="",$C18=0,$E18="",$B18="",$G18=-2),0,$C18*IF($G18=0,IF(IF($F18="",H$4,MIN(H$4,$F18))&lt;$E18,0,MAX(0,INT((IF($F18="",H$4,MIN(H$4,$F18))-$E18)/7)+1-MAX(0,ROUNDUP((H$3-$E18)/7,0)))),IF($G18=101,(AND(EOMONTH(H$3,0)&gt;=MAX(H$3,$E18),EOMONTH(H$3,0)&lt;=IF($F18="",H$4,MIN(H$4,$F18)))*1+AND(EOMONTH(H$4,0)&lt;&gt;EOMONTH(H$3,0),EOMONTH(H$4,0)&gt;=MAX(H$3,$E18),EOMONTH(H$4,0)&lt;=IF($F18="",H$4,MIN(H$4,$F18)))*1),IF($G18=102,(AND(WORKDAY(EOMONTH(H$3,0)+1,-3)&gt;=MAX(H$3,$E18),WORKDAY(EOMONTH(H$3,0)+1,-3)&lt;=IF($F18="",H$4,MIN(H$4,$F18)))*1+AND(WORKDAY(EOMONTH(H$4,0)+1,-3)&lt;&gt;WORKDAY(EOMONTH(H$3,0)+1,-3),WORKDAY(EOMONTH(H$4,0)+1,-3)&gt;=MAX(H$3,$E18),WORKDAY(EOMONTH(H$4,0)+1,-3)&lt;=IF($F18="",H$4,MIN(H$4,$F18)))*1),IF(AND(IF(EDATE($E18,MAX(0,ROUNDUP(((YEAR(H$3)-YEAR($E18))*12+MONTH(H$3)-MONTH($E18))/$G18,0)*$G18))&lt;H$3,EDATE($E18,MAX(0,ROUNDUP(((YEAR(H$3)-YEAR($E18))*12+MONTH(H$3)-MONTH($E18))/$G18,0)*$G18)+$G18),EDATE($E18,MAX(0,ROUNDUP(((YEAR(H$3)-YEAR($E18))*12+MONTH(H$3)-MONTH($E18))/$G18,0)*$G18)))&gt;=H$3,IF(EDATE($E18,MAX(0,ROUNDUP(((YEAR(H$3)-YEAR($E18))*12+MONTH(H$3)-MONTH($E18))/$G18,0)*$G18))&lt;H$3,EDATE($E18,MAX(0,ROUNDUP(((YEAR(H$3)-YEAR($E18))*12+MONTH(H$3)-MONTH($E18))/$G18,0)*$G18)+$G18),EDATE($E18,MAX(0,ROUNDUP(((YEAR(H$3)-YEAR($E18))*12+MONTH(H$3)-MONTH($E18))/$G18,0)*$G18)))&lt;=IF($F18="",H$4,MIN(H$4,$F18))),1,0)))))</f>
        <v>0</v>
      </c>
      <c r="I18" s="25" t="n">
        <f aca="false">IF(OR($C18="",$C18=0,$E18="",$B18="",$G18=-2),0,$C18*IF($G18=0,IF(IF($F18="",I$4,MIN(I$4,$F18))&lt;$E18,0,MAX(0,INT((IF($F18="",I$4,MIN(I$4,$F18))-$E18)/7)+1-MAX(0,ROUNDUP((I$3-$E18)/7,0)))),IF($G18=101,(AND(EOMONTH(I$3,0)&gt;=MAX(I$3,$E18),EOMONTH(I$3,0)&lt;=IF($F18="",I$4,MIN(I$4,$F18)))*1+AND(EOMONTH(I$4,0)&lt;&gt;EOMONTH(I$3,0),EOMONTH(I$4,0)&gt;=MAX(I$3,$E18),EOMONTH(I$4,0)&lt;=IF($F18="",I$4,MIN(I$4,$F18)))*1),IF($G18=102,(AND(WORKDAY(EOMONTH(I$3,0)+1,-3)&gt;=MAX(I$3,$E18),WORKDAY(EOMONTH(I$3,0)+1,-3)&lt;=IF($F18="",I$4,MIN(I$4,$F18)))*1+AND(WORKDAY(EOMONTH(I$4,0)+1,-3)&lt;&gt;WORKDAY(EOMONTH(I$3,0)+1,-3),WORKDAY(EOMONTH(I$4,0)+1,-3)&gt;=MAX(I$3,$E18),WORKDAY(EOMONTH(I$4,0)+1,-3)&lt;=IF($F18="",I$4,MIN(I$4,$F18)))*1),IF(AND(IF(EDATE($E18,MAX(0,ROUNDUP(((YEAR(I$3)-YEAR($E18))*12+MONTH(I$3)-MONTH($E18))/$G18,0)*$G18))&lt;I$3,EDATE($E18,MAX(0,ROUNDUP(((YEAR(I$3)-YEAR($E18))*12+MONTH(I$3)-MONTH($E18))/$G18,0)*$G18)+$G18),EDATE($E18,MAX(0,ROUNDUP(((YEAR(I$3)-YEAR($E18))*12+MONTH(I$3)-MONTH($E18))/$G18,0)*$G18)))&gt;=I$3,IF(EDATE($E18,MAX(0,ROUNDUP(((YEAR(I$3)-YEAR($E18))*12+MONTH(I$3)-MONTH($E18))/$G18,0)*$G18))&lt;I$3,EDATE($E18,MAX(0,ROUNDUP(((YEAR(I$3)-YEAR($E18))*12+MONTH(I$3)-MONTH($E18))/$G18,0)*$G18)+$G18),EDATE($E18,MAX(0,ROUNDUP(((YEAR(I$3)-YEAR($E18))*12+MONTH(I$3)-MONTH($E18))/$G18,0)*$G18)))&lt;=IF($F18="",I$4,MIN(I$4,$F18))),1,0)))))</f>
        <v>0</v>
      </c>
      <c r="J18" s="25" t="n">
        <f aca="false">IF(OR($C18="",$C18=0,$E18="",$B18="",$G18=-2),0,$C18*IF($G18=0,IF(IF($F18="",J$4,MIN(J$4,$F18))&lt;$E18,0,MAX(0,INT((IF($F18="",J$4,MIN(J$4,$F18))-$E18)/7)+1-MAX(0,ROUNDUP((J$3-$E18)/7,0)))),IF($G18=101,(AND(EOMONTH(J$3,0)&gt;=MAX(J$3,$E18),EOMONTH(J$3,0)&lt;=IF($F18="",J$4,MIN(J$4,$F18)))*1+AND(EOMONTH(J$4,0)&lt;&gt;EOMONTH(J$3,0),EOMONTH(J$4,0)&gt;=MAX(J$3,$E18),EOMONTH(J$4,0)&lt;=IF($F18="",J$4,MIN(J$4,$F18)))*1),IF($G18=102,(AND(WORKDAY(EOMONTH(J$3,0)+1,-3)&gt;=MAX(J$3,$E18),WORKDAY(EOMONTH(J$3,0)+1,-3)&lt;=IF($F18="",J$4,MIN(J$4,$F18)))*1+AND(WORKDAY(EOMONTH(J$4,0)+1,-3)&lt;&gt;WORKDAY(EOMONTH(J$3,0)+1,-3),WORKDAY(EOMONTH(J$4,0)+1,-3)&gt;=MAX(J$3,$E18),WORKDAY(EOMONTH(J$4,0)+1,-3)&lt;=IF($F18="",J$4,MIN(J$4,$F18)))*1),IF(AND(IF(EDATE($E18,MAX(0,ROUNDUP(((YEAR(J$3)-YEAR($E18))*12+MONTH(J$3)-MONTH($E18))/$G18,0)*$G18))&lt;J$3,EDATE($E18,MAX(0,ROUNDUP(((YEAR(J$3)-YEAR($E18))*12+MONTH(J$3)-MONTH($E18))/$G18,0)*$G18)+$G18),EDATE($E18,MAX(0,ROUNDUP(((YEAR(J$3)-YEAR($E18))*12+MONTH(J$3)-MONTH($E18))/$G18,0)*$G18)))&gt;=J$3,IF(EDATE($E18,MAX(0,ROUNDUP(((YEAR(J$3)-YEAR($E18))*12+MONTH(J$3)-MONTH($E18))/$G18,0)*$G18))&lt;J$3,EDATE($E18,MAX(0,ROUNDUP(((YEAR(J$3)-YEAR($E18))*12+MONTH(J$3)-MONTH($E18))/$G18,0)*$G18)+$G18),EDATE($E18,MAX(0,ROUNDUP(((YEAR(J$3)-YEAR($E18))*12+MONTH(J$3)-MONTH($E18))/$G18,0)*$G18)))&lt;=IF($F18="",J$4,MIN(J$4,$F18))),1,0)))))</f>
        <v>0</v>
      </c>
      <c r="K18" s="25" t="n">
        <f aca="false">IF(OR($C18="",$C18=0,$E18="",$B18="",$G18=-2),0,$C18*IF($G18=0,IF(IF($F18="",K$4,MIN(K$4,$F18))&lt;$E18,0,MAX(0,INT((IF($F18="",K$4,MIN(K$4,$F18))-$E18)/7)+1-MAX(0,ROUNDUP((K$3-$E18)/7,0)))),IF($G18=101,(AND(EOMONTH(K$3,0)&gt;=MAX(K$3,$E18),EOMONTH(K$3,0)&lt;=IF($F18="",K$4,MIN(K$4,$F18)))*1+AND(EOMONTH(K$4,0)&lt;&gt;EOMONTH(K$3,0),EOMONTH(K$4,0)&gt;=MAX(K$3,$E18),EOMONTH(K$4,0)&lt;=IF($F18="",K$4,MIN(K$4,$F18)))*1),IF($G18=102,(AND(WORKDAY(EOMONTH(K$3,0)+1,-3)&gt;=MAX(K$3,$E18),WORKDAY(EOMONTH(K$3,0)+1,-3)&lt;=IF($F18="",K$4,MIN(K$4,$F18)))*1+AND(WORKDAY(EOMONTH(K$4,0)+1,-3)&lt;&gt;WORKDAY(EOMONTH(K$3,0)+1,-3),WORKDAY(EOMONTH(K$4,0)+1,-3)&gt;=MAX(K$3,$E18),WORKDAY(EOMONTH(K$4,0)+1,-3)&lt;=IF($F18="",K$4,MIN(K$4,$F18)))*1),IF(AND(IF(EDATE($E18,MAX(0,ROUNDUP(((YEAR(K$3)-YEAR($E18))*12+MONTH(K$3)-MONTH($E18))/$G18,0)*$G18))&lt;K$3,EDATE($E18,MAX(0,ROUNDUP(((YEAR(K$3)-YEAR($E18))*12+MONTH(K$3)-MONTH($E18))/$G18,0)*$G18)+$G18),EDATE($E18,MAX(0,ROUNDUP(((YEAR(K$3)-YEAR($E18))*12+MONTH(K$3)-MONTH($E18))/$G18,0)*$G18)))&gt;=K$3,IF(EDATE($E18,MAX(0,ROUNDUP(((YEAR(K$3)-YEAR($E18))*12+MONTH(K$3)-MONTH($E18))/$G18,0)*$G18))&lt;K$3,EDATE($E18,MAX(0,ROUNDUP(((YEAR(K$3)-YEAR($E18))*12+MONTH(K$3)-MONTH($E18))/$G18,0)*$G18)+$G18),EDATE($E18,MAX(0,ROUNDUP(((YEAR(K$3)-YEAR($E18))*12+MONTH(K$3)-MONTH($E18))/$G18,0)*$G18)))&lt;=IF($F18="",K$4,MIN(K$4,$F18))),1,0)))))</f>
        <v>0</v>
      </c>
      <c r="L18" s="25" t="n">
        <f aca="false">IF(OR($C18="",$C18=0,$E18="",$B18="",$G18=-2),0,$C18*IF($G18=0,IF(IF($F18="",L$4,MIN(L$4,$F18))&lt;$E18,0,MAX(0,INT((IF($F18="",L$4,MIN(L$4,$F18))-$E18)/7)+1-MAX(0,ROUNDUP((L$3-$E18)/7,0)))),IF($G18=101,(AND(EOMONTH(L$3,0)&gt;=MAX(L$3,$E18),EOMONTH(L$3,0)&lt;=IF($F18="",L$4,MIN(L$4,$F18)))*1+AND(EOMONTH(L$4,0)&lt;&gt;EOMONTH(L$3,0),EOMONTH(L$4,0)&gt;=MAX(L$3,$E18),EOMONTH(L$4,0)&lt;=IF($F18="",L$4,MIN(L$4,$F18)))*1),IF($G18=102,(AND(WORKDAY(EOMONTH(L$3,0)+1,-3)&gt;=MAX(L$3,$E18),WORKDAY(EOMONTH(L$3,0)+1,-3)&lt;=IF($F18="",L$4,MIN(L$4,$F18)))*1+AND(WORKDAY(EOMONTH(L$4,0)+1,-3)&lt;&gt;WORKDAY(EOMONTH(L$3,0)+1,-3),WORKDAY(EOMONTH(L$4,0)+1,-3)&gt;=MAX(L$3,$E18),WORKDAY(EOMONTH(L$4,0)+1,-3)&lt;=IF($F18="",L$4,MIN(L$4,$F18)))*1),IF(AND(IF(EDATE($E18,MAX(0,ROUNDUP(((YEAR(L$3)-YEAR($E18))*12+MONTH(L$3)-MONTH($E18))/$G18,0)*$G18))&lt;L$3,EDATE($E18,MAX(0,ROUNDUP(((YEAR(L$3)-YEAR($E18))*12+MONTH(L$3)-MONTH($E18))/$G18,0)*$G18)+$G18),EDATE($E18,MAX(0,ROUNDUP(((YEAR(L$3)-YEAR($E18))*12+MONTH(L$3)-MONTH($E18))/$G18,0)*$G18)))&gt;=L$3,IF(EDATE($E18,MAX(0,ROUNDUP(((YEAR(L$3)-YEAR($E18))*12+MONTH(L$3)-MONTH($E18))/$G18,0)*$G18))&lt;L$3,EDATE($E18,MAX(0,ROUNDUP(((YEAR(L$3)-YEAR($E18))*12+MONTH(L$3)-MONTH($E18))/$G18,0)*$G18)+$G18),EDATE($E18,MAX(0,ROUNDUP(((YEAR(L$3)-YEAR($E18))*12+MONTH(L$3)-MONTH($E18))/$G18,0)*$G18)))&lt;=IF($F18="",L$4,MIN(L$4,$F18))),1,0)))))</f>
        <v>0</v>
      </c>
      <c r="M18" s="25" t="n">
        <f aca="false">IF(OR($C18="",$C18=0,$E18="",$B18="",$G18=-2),0,$C18*IF($G18=0,IF(IF($F18="",M$4,MIN(M$4,$F18))&lt;$E18,0,MAX(0,INT((IF($F18="",M$4,MIN(M$4,$F18))-$E18)/7)+1-MAX(0,ROUNDUP((M$3-$E18)/7,0)))),IF($G18=101,(AND(EOMONTH(M$3,0)&gt;=MAX(M$3,$E18),EOMONTH(M$3,0)&lt;=IF($F18="",M$4,MIN(M$4,$F18)))*1+AND(EOMONTH(M$4,0)&lt;&gt;EOMONTH(M$3,0),EOMONTH(M$4,0)&gt;=MAX(M$3,$E18),EOMONTH(M$4,0)&lt;=IF($F18="",M$4,MIN(M$4,$F18)))*1),IF($G18=102,(AND(WORKDAY(EOMONTH(M$3,0)+1,-3)&gt;=MAX(M$3,$E18),WORKDAY(EOMONTH(M$3,0)+1,-3)&lt;=IF($F18="",M$4,MIN(M$4,$F18)))*1+AND(WORKDAY(EOMONTH(M$4,0)+1,-3)&lt;&gt;WORKDAY(EOMONTH(M$3,0)+1,-3),WORKDAY(EOMONTH(M$4,0)+1,-3)&gt;=MAX(M$3,$E18),WORKDAY(EOMONTH(M$4,0)+1,-3)&lt;=IF($F18="",M$4,MIN(M$4,$F18)))*1),IF(AND(IF(EDATE($E18,MAX(0,ROUNDUP(((YEAR(M$3)-YEAR($E18))*12+MONTH(M$3)-MONTH($E18))/$G18,0)*$G18))&lt;M$3,EDATE($E18,MAX(0,ROUNDUP(((YEAR(M$3)-YEAR($E18))*12+MONTH(M$3)-MONTH($E18))/$G18,0)*$G18)+$G18),EDATE($E18,MAX(0,ROUNDUP(((YEAR(M$3)-YEAR($E18))*12+MONTH(M$3)-MONTH($E18))/$G18,0)*$G18)))&gt;=M$3,IF(EDATE($E18,MAX(0,ROUNDUP(((YEAR(M$3)-YEAR($E18))*12+MONTH(M$3)-MONTH($E18))/$G18,0)*$G18))&lt;M$3,EDATE($E18,MAX(0,ROUNDUP(((YEAR(M$3)-YEAR($E18))*12+MONTH(M$3)-MONTH($E18))/$G18,0)*$G18)+$G18),EDATE($E18,MAX(0,ROUNDUP(((YEAR(M$3)-YEAR($E18))*12+MONTH(M$3)-MONTH($E18))/$G18,0)*$G18)))&lt;=IF($F18="",M$4,MIN(M$4,$F18))),1,0)))))</f>
        <v>0</v>
      </c>
      <c r="N18" s="25" t="n">
        <f aca="false">IF(OR($C18="",$C18=0,$E18="",$B18="",$G18=-2),0,$C18*IF($G18=0,IF(IF($F18="",N$4,MIN(N$4,$F18))&lt;$E18,0,MAX(0,INT((IF($F18="",N$4,MIN(N$4,$F18))-$E18)/7)+1-MAX(0,ROUNDUP((N$3-$E18)/7,0)))),IF($G18=101,(AND(EOMONTH(N$3,0)&gt;=MAX(N$3,$E18),EOMONTH(N$3,0)&lt;=IF($F18="",N$4,MIN(N$4,$F18)))*1+AND(EOMONTH(N$4,0)&lt;&gt;EOMONTH(N$3,0),EOMONTH(N$4,0)&gt;=MAX(N$3,$E18),EOMONTH(N$4,0)&lt;=IF($F18="",N$4,MIN(N$4,$F18)))*1),IF($G18=102,(AND(WORKDAY(EOMONTH(N$3,0)+1,-3)&gt;=MAX(N$3,$E18),WORKDAY(EOMONTH(N$3,0)+1,-3)&lt;=IF($F18="",N$4,MIN(N$4,$F18)))*1+AND(WORKDAY(EOMONTH(N$4,0)+1,-3)&lt;&gt;WORKDAY(EOMONTH(N$3,0)+1,-3),WORKDAY(EOMONTH(N$4,0)+1,-3)&gt;=MAX(N$3,$E18),WORKDAY(EOMONTH(N$4,0)+1,-3)&lt;=IF($F18="",N$4,MIN(N$4,$F18)))*1),IF(AND(IF(EDATE($E18,MAX(0,ROUNDUP(((YEAR(N$3)-YEAR($E18))*12+MONTH(N$3)-MONTH($E18))/$G18,0)*$G18))&lt;N$3,EDATE($E18,MAX(0,ROUNDUP(((YEAR(N$3)-YEAR($E18))*12+MONTH(N$3)-MONTH($E18))/$G18,0)*$G18)+$G18),EDATE($E18,MAX(0,ROUNDUP(((YEAR(N$3)-YEAR($E18))*12+MONTH(N$3)-MONTH($E18))/$G18,0)*$G18)))&gt;=N$3,IF(EDATE($E18,MAX(0,ROUNDUP(((YEAR(N$3)-YEAR($E18))*12+MONTH(N$3)-MONTH($E18))/$G18,0)*$G18))&lt;N$3,EDATE($E18,MAX(0,ROUNDUP(((YEAR(N$3)-YEAR($E18))*12+MONTH(N$3)-MONTH($E18))/$G18,0)*$G18)+$G18),EDATE($E18,MAX(0,ROUNDUP(((YEAR(N$3)-YEAR($E18))*12+MONTH(N$3)-MONTH($E18))/$G18,0)*$G18)))&lt;=IF($F18="",N$4,MIN(N$4,$F18))),1,0)))))</f>
        <v>0</v>
      </c>
      <c r="O18" s="25" t="n">
        <f aca="false">IF(OR($C18="",$C18=0,$E18="",$B18="",$G18=-2),0,$C18*IF($G18=0,IF(IF($F18="",O$4,MIN(O$4,$F18))&lt;$E18,0,MAX(0,INT((IF($F18="",O$4,MIN(O$4,$F18))-$E18)/7)+1-MAX(0,ROUNDUP((O$3-$E18)/7,0)))),IF($G18=101,(AND(EOMONTH(O$3,0)&gt;=MAX(O$3,$E18),EOMONTH(O$3,0)&lt;=IF($F18="",O$4,MIN(O$4,$F18)))*1+AND(EOMONTH(O$4,0)&lt;&gt;EOMONTH(O$3,0),EOMONTH(O$4,0)&gt;=MAX(O$3,$E18),EOMONTH(O$4,0)&lt;=IF($F18="",O$4,MIN(O$4,$F18)))*1),IF($G18=102,(AND(WORKDAY(EOMONTH(O$3,0)+1,-3)&gt;=MAX(O$3,$E18),WORKDAY(EOMONTH(O$3,0)+1,-3)&lt;=IF($F18="",O$4,MIN(O$4,$F18)))*1+AND(WORKDAY(EOMONTH(O$4,0)+1,-3)&lt;&gt;WORKDAY(EOMONTH(O$3,0)+1,-3),WORKDAY(EOMONTH(O$4,0)+1,-3)&gt;=MAX(O$3,$E18),WORKDAY(EOMONTH(O$4,0)+1,-3)&lt;=IF($F18="",O$4,MIN(O$4,$F18)))*1),IF(AND(IF(EDATE($E18,MAX(0,ROUNDUP(((YEAR(O$3)-YEAR($E18))*12+MONTH(O$3)-MONTH($E18))/$G18,0)*$G18))&lt;O$3,EDATE($E18,MAX(0,ROUNDUP(((YEAR(O$3)-YEAR($E18))*12+MONTH(O$3)-MONTH($E18))/$G18,0)*$G18)+$G18),EDATE($E18,MAX(0,ROUNDUP(((YEAR(O$3)-YEAR($E18))*12+MONTH(O$3)-MONTH($E18))/$G18,0)*$G18)))&gt;=O$3,IF(EDATE($E18,MAX(0,ROUNDUP(((YEAR(O$3)-YEAR($E18))*12+MONTH(O$3)-MONTH($E18))/$G18,0)*$G18))&lt;O$3,EDATE($E18,MAX(0,ROUNDUP(((YEAR(O$3)-YEAR($E18))*12+MONTH(O$3)-MONTH($E18))/$G18,0)*$G18)+$G18),EDATE($E18,MAX(0,ROUNDUP(((YEAR(O$3)-YEAR($E18))*12+MONTH(O$3)-MONTH($E18))/$G18,0)*$G18)))&lt;=IF($F18="",O$4,MIN(O$4,$F18))),1,0)))))</f>
        <v>0</v>
      </c>
      <c r="P18" s="25" t="n">
        <f aca="false">IF(OR($C18="",$C18=0,$E18="",$B18="",$G18=-2),0,$C18*IF($G18=0,IF(IF($F18="",P$4,MIN(P$4,$F18))&lt;$E18,0,MAX(0,INT((IF($F18="",P$4,MIN(P$4,$F18))-$E18)/7)+1-MAX(0,ROUNDUP((P$3-$E18)/7,0)))),IF($G18=101,(AND(EOMONTH(P$3,0)&gt;=MAX(P$3,$E18),EOMONTH(P$3,0)&lt;=IF($F18="",P$4,MIN(P$4,$F18)))*1+AND(EOMONTH(P$4,0)&lt;&gt;EOMONTH(P$3,0),EOMONTH(P$4,0)&gt;=MAX(P$3,$E18),EOMONTH(P$4,0)&lt;=IF($F18="",P$4,MIN(P$4,$F18)))*1),IF($G18=102,(AND(WORKDAY(EOMONTH(P$3,0)+1,-3)&gt;=MAX(P$3,$E18),WORKDAY(EOMONTH(P$3,0)+1,-3)&lt;=IF($F18="",P$4,MIN(P$4,$F18)))*1+AND(WORKDAY(EOMONTH(P$4,0)+1,-3)&lt;&gt;WORKDAY(EOMONTH(P$3,0)+1,-3),WORKDAY(EOMONTH(P$4,0)+1,-3)&gt;=MAX(P$3,$E18),WORKDAY(EOMONTH(P$4,0)+1,-3)&lt;=IF($F18="",P$4,MIN(P$4,$F18)))*1),IF(AND(IF(EDATE($E18,MAX(0,ROUNDUP(((YEAR(P$3)-YEAR($E18))*12+MONTH(P$3)-MONTH($E18))/$G18,0)*$G18))&lt;P$3,EDATE($E18,MAX(0,ROUNDUP(((YEAR(P$3)-YEAR($E18))*12+MONTH(P$3)-MONTH($E18))/$G18,0)*$G18)+$G18),EDATE($E18,MAX(0,ROUNDUP(((YEAR(P$3)-YEAR($E18))*12+MONTH(P$3)-MONTH($E18))/$G18,0)*$G18)))&gt;=P$3,IF(EDATE($E18,MAX(0,ROUNDUP(((YEAR(P$3)-YEAR($E18))*12+MONTH(P$3)-MONTH($E18))/$G18,0)*$G18))&lt;P$3,EDATE($E18,MAX(0,ROUNDUP(((YEAR(P$3)-YEAR($E18))*12+MONTH(P$3)-MONTH($E18))/$G18,0)*$G18)+$G18),EDATE($E18,MAX(0,ROUNDUP(((YEAR(P$3)-YEAR($E18))*12+MONTH(P$3)-MONTH($E18))/$G18,0)*$G18)))&lt;=IF($F18="",P$4,MIN(P$4,$F18))),1,0)))))</f>
        <v>0</v>
      </c>
      <c r="Q18" s="25" t="n">
        <f aca="false">IF(OR($C18="",$C18=0,$E18="",$B18="",$G18=-2),0,$C18*IF($G18=0,IF(IF($F18="",Q$4,MIN(Q$4,$F18))&lt;$E18,0,MAX(0,INT((IF($F18="",Q$4,MIN(Q$4,$F18))-$E18)/7)+1-MAX(0,ROUNDUP((Q$3-$E18)/7,0)))),IF($G18=101,(AND(EOMONTH(Q$3,0)&gt;=MAX(Q$3,$E18),EOMONTH(Q$3,0)&lt;=IF($F18="",Q$4,MIN(Q$4,$F18)))*1+AND(EOMONTH(Q$4,0)&lt;&gt;EOMONTH(Q$3,0),EOMONTH(Q$4,0)&gt;=MAX(Q$3,$E18),EOMONTH(Q$4,0)&lt;=IF($F18="",Q$4,MIN(Q$4,$F18)))*1),IF($G18=102,(AND(WORKDAY(EOMONTH(Q$3,0)+1,-3)&gt;=MAX(Q$3,$E18),WORKDAY(EOMONTH(Q$3,0)+1,-3)&lt;=IF($F18="",Q$4,MIN(Q$4,$F18)))*1+AND(WORKDAY(EOMONTH(Q$4,0)+1,-3)&lt;&gt;WORKDAY(EOMONTH(Q$3,0)+1,-3),WORKDAY(EOMONTH(Q$4,0)+1,-3)&gt;=MAX(Q$3,$E18),WORKDAY(EOMONTH(Q$4,0)+1,-3)&lt;=IF($F18="",Q$4,MIN(Q$4,$F18)))*1),IF(AND(IF(EDATE($E18,MAX(0,ROUNDUP(((YEAR(Q$3)-YEAR($E18))*12+MONTH(Q$3)-MONTH($E18))/$G18,0)*$G18))&lt;Q$3,EDATE($E18,MAX(0,ROUNDUP(((YEAR(Q$3)-YEAR($E18))*12+MONTH(Q$3)-MONTH($E18))/$G18,0)*$G18)+$G18),EDATE($E18,MAX(0,ROUNDUP(((YEAR(Q$3)-YEAR($E18))*12+MONTH(Q$3)-MONTH($E18))/$G18,0)*$G18)))&gt;=Q$3,IF(EDATE($E18,MAX(0,ROUNDUP(((YEAR(Q$3)-YEAR($E18))*12+MONTH(Q$3)-MONTH($E18))/$G18,0)*$G18))&lt;Q$3,EDATE($E18,MAX(0,ROUNDUP(((YEAR(Q$3)-YEAR($E18))*12+MONTH(Q$3)-MONTH($E18))/$G18,0)*$G18)+$G18),EDATE($E18,MAX(0,ROUNDUP(((YEAR(Q$3)-YEAR($E18))*12+MONTH(Q$3)-MONTH($E18))/$G18,0)*$G18)))&lt;=IF($F18="",Q$4,MIN(Q$4,$F18))),1,0)))))</f>
        <v>0</v>
      </c>
      <c r="R18" s="25" t="n">
        <f aca="false">IF(OR($C18="",$C18=0,$E18="",$B18="",$G18=-2),0,$C18*IF($G18=0,IF(IF($F18="",R$4,MIN(R$4,$F18))&lt;$E18,0,MAX(0,INT((IF($F18="",R$4,MIN(R$4,$F18))-$E18)/7)+1-MAX(0,ROUNDUP((R$3-$E18)/7,0)))),IF($G18=101,(AND(EOMONTH(R$3,0)&gt;=MAX(R$3,$E18),EOMONTH(R$3,0)&lt;=IF($F18="",R$4,MIN(R$4,$F18)))*1+AND(EOMONTH(R$4,0)&lt;&gt;EOMONTH(R$3,0),EOMONTH(R$4,0)&gt;=MAX(R$3,$E18),EOMONTH(R$4,0)&lt;=IF($F18="",R$4,MIN(R$4,$F18)))*1),IF($G18=102,(AND(WORKDAY(EOMONTH(R$3,0)+1,-3)&gt;=MAX(R$3,$E18),WORKDAY(EOMONTH(R$3,0)+1,-3)&lt;=IF($F18="",R$4,MIN(R$4,$F18)))*1+AND(WORKDAY(EOMONTH(R$4,0)+1,-3)&lt;&gt;WORKDAY(EOMONTH(R$3,0)+1,-3),WORKDAY(EOMONTH(R$4,0)+1,-3)&gt;=MAX(R$3,$E18),WORKDAY(EOMONTH(R$4,0)+1,-3)&lt;=IF($F18="",R$4,MIN(R$4,$F18)))*1),IF(AND(IF(EDATE($E18,MAX(0,ROUNDUP(((YEAR(R$3)-YEAR($E18))*12+MONTH(R$3)-MONTH($E18))/$G18,0)*$G18))&lt;R$3,EDATE($E18,MAX(0,ROUNDUP(((YEAR(R$3)-YEAR($E18))*12+MONTH(R$3)-MONTH($E18))/$G18,0)*$G18)+$G18),EDATE($E18,MAX(0,ROUNDUP(((YEAR(R$3)-YEAR($E18))*12+MONTH(R$3)-MONTH($E18))/$G18,0)*$G18)))&gt;=R$3,IF(EDATE($E18,MAX(0,ROUNDUP(((YEAR(R$3)-YEAR($E18))*12+MONTH(R$3)-MONTH($E18))/$G18,0)*$G18))&lt;R$3,EDATE($E18,MAX(0,ROUNDUP(((YEAR(R$3)-YEAR($E18))*12+MONTH(R$3)-MONTH($E18))/$G18,0)*$G18)+$G18),EDATE($E18,MAX(0,ROUNDUP(((YEAR(R$3)-YEAR($E18))*12+MONTH(R$3)-MONTH($E18))/$G18,0)*$G18)))&lt;=IF($F18="",R$4,MIN(R$4,$F18))),1,0)))))</f>
        <v>0</v>
      </c>
      <c r="S18" s="25" t="n">
        <f aca="false">IF(OR($C18="",$C18=0,$E18="",$B18="",$G18=-2),0,$C18*IF($G18=0,IF(IF($F18="",S$4,MIN(S$4,$F18))&lt;$E18,0,MAX(0,INT((IF($F18="",S$4,MIN(S$4,$F18))-$E18)/7)+1-MAX(0,ROUNDUP((S$3-$E18)/7,0)))),IF($G18=101,(AND(EOMONTH(S$3,0)&gt;=MAX(S$3,$E18),EOMONTH(S$3,0)&lt;=IF($F18="",S$4,MIN(S$4,$F18)))*1+AND(EOMONTH(S$4,0)&lt;&gt;EOMONTH(S$3,0),EOMONTH(S$4,0)&gt;=MAX(S$3,$E18),EOMONTH(S$4,0)&lt;=IF($F18="",S$4,MIN(S$4,$F18)))*1),IF($G18=102,(AND(WORKDAY(EOMONTH(S$3,0)+1,-3)&gt;=MAX(S$3,$E18),WORKDAY(EOMONTH(S$3,0)+1,-3)&lt;=IF($F18="",S$4,MIN(S$4,$F18)))*1+AND(WORKDAY(EOMONTH(S$4,0)+1,-3)&lt;&gt;WORKDAY(EOMONTH(S$3,0)+1,-3),WORKDAY(EOMONTH(S$4,0)+1,-3)&gt;=MAX(S$3,$E18),WORKDAY(EOMONTH(S$4,0)+1,-3)&lt;=IF($F18="",S$4,MIN(S$4,$F18)))*1),IF(AND(IF(EDATE($E18,MAX(0,ROUNDUP(((YEAR(S$3)-YEAR($E18))*12+MONTH(S$3)-MONTH($E18))/$G18,0)*$G18))&lt;S$3,EDATE($E18,MAX(0,ROUNDUP(((YEAR(S$3)-YEAR($E18))*12+MONTH(S$3)-MONTH($E18))/$G18,0)*$G18)+$G18),EDATE($E18,MAX(0,ROUNDUP(((YEAR(S$3)-YEAR($E18))*12+MONTH(S$3)-MONTH($E18))/$G18,0)*$G18)))&gt;=S$3,IF(EDATE($E18,MAX(0,ROUNDUP(((YEAR(S$3)-YEAR($E18))*12+MONTH(S$3)-MONTH($E18))/$G18,0)*$G18))&lt;S$3,EDATE($E18,MAX(0,ROUNDUP(((YEAR(S$3)-YEAR($E18))*12+MONTH(S$3)-MONTH($E18))/$G18,0)*$G18)+$G18),EDATE($E18,MAX(0,ROUNDUP(((YEAR(S$3)-YEAR($E18))*12+MONTH(S$3)-MONTH($E18))/$G18,0)*$G18)))&lt;=IF($F18="",S$4,MIN(S$4,$F18))),1,0)))))</f>
        <v>0</v>
      </c>
      <c r="T18" s="25" t="n">
        <f aca="false">IF(OR($C18="",$C18=0,$E18="",$B18="",$G18=-2),0,$C18*IF($G18=0,IF(IF($F18="",T$4,MIN(T$4,$F18))&lt;$E18,0,MAX(0,INT((IF($F18="",T$4,MIN(T$4,$F18))-$E18)/7)+1-MAX(0,ROUNDUP((T$3-$E18)/7,0)))),IF($G18=101,(AND(EOMONTH(T$3,0)&gt;=MAX(T$3,$E18),EOMONTH(T$3,0)&lt;=IF($F18="",T$4,MIN(T$4,$F18)))*1+AND(EOMONTH(T$4,0)&lt;&gt;EOMONTH(T$3,0),EOMONTH(T$4,0)&gt;=MAX(T$3,$E18),EOMONTH(T$4,0)&lt;=IF($F18="",T$4,MIN(T$4,$F18)))*1),IF($G18=102,(AND(WORKDAY(EOMONTH(T$3,0)+1,-3)&gt;=MAX(T$3,$E18),WORKDAY(EOMONTH(T$3,0)+1,-3)&lt;=IF($F18="",T$4,MIN(T$4,$F18)))*1+AND(WORKDAY(EOMONTH(T$4,0)+1,-3)&lt;&gt;WORKDAY(EOMONTH(T$3,0)+1,-3),WORKDAY(EOMONTH(T$4,0)+1,-3)&gt;=MAX(T$3,$E18),WORKDAY(EOMONTH(T$4,0)+1,-3)&lt;=IF($F18="",T$4,MIN(T$4,$F18)))*1),IF(AND(IF(EDATE($E18,MAX(0,ROUNDUP(((YEAR(T$3)-YEAR($E18))*12+MONTH(T$3)-MONTH($E18))/$G18,0)*$G18))&lt;T$3,EDATE($E18,MAX(0,ROUNDUP(((YEAR(T$3)-YEAR($E18))*12+MONTH(T$3)-MONTH($E18))/$G18,0)*$G18)+$G18),EDATE($E18,MAX(0,ROUNDUP(((YEAR(T$3)-YEAR($E18))*12+MONTH(T$3)-MONTH($E18))/$G18,0)*$G18)))&gt;=T$3,IF(EDATE($E18,MAX(0,ROUNDUP(((YEAR(T$3)-YEAR($E18))*12+MONTH(T$3)-MONTH($E18))/$G18,0)*$G18))&lt;T$3,EDATE($E18,MAX(0,ROUNDUP(((YEAR(T$3)-YEAR($E18))*12+MONTH(T$3)-MONTH($E18))/$G18,0)*$G18)+$G18),EDATE($E18,MAX(0,ROUNDUP(((YEAR(T$3)-YEAR($E18))*12+MONTH(T$3)-MONTH($E18))/$G18,0)*$G18)))&lt;=IF($F18="",T$4,MIN(T$4,$F18))),1,0)))))</f>
        <v>0</v>
      </c>
      <c r="U18" s="25" t="n">
        <f aca="false">IF(OR($C18="",$C18=0,$E18="",$B18="",$G18=-2),0,$C18*IF($G18=0,IF(IF($F18="",U$4,MIN(U$4,$F18))&lt;$E18,0,MAX(0,INT((IF($F18="",U$4,MIN(U$4,$F18))-$E18)/7)+1-MAX(0,ROUNDUP((U$3-$E18)/7,0)))),IF($G18=101,(AND(EOMONTH(U$3,0)&gt;=MAX(U$3,$E18),EOMONTH(U$3,0)&lt;=IF($F18="",U$4,MIN(U$4,$F18)))*1+AND(EOMONTH(U$4,0)&lt;&gt;EOMONTH(U$3,0),EOMONTH(U$4,0)&gt;=MAX(U$3,$E18),EOMONTH(U$4,0)&lt;=IF($F18="",U$4,MIN(U$4,$F18)))*1),IF($G18=102,(AND(WORKDAY(EOMONTH(U$3,0)+1,-3)&gt;=MAX(U$3,$E18),WORKDAY(EOMONTH(U$3,0)+1,-3)&lt;=IF($F18="",U$4,MIN(U$4,$F18)))*1+AND(WORKDAY(EOMONTH(U$4,0)+1,-3)&lt;&gt;WORKDAY(EOMONTH(U$3,0)+1,-3),WORKDAY(EOMONTH(U$4,0)+1,-3)&gt;=MAX(U$3,$E18),WORKDAY(EOMONTH(U$4,0)+1,-3)&lt;=IF($F18="",U$4,MIN(U$4,$F18)))*1),IF(AND(IF(EDATE($E18,MAX(0,ROUNDUP(((YEAR(U$3)-YEAR($E18))*12+MONTH(U$3)-MONTH($E18))/$G18,0)*$G18))&lt;U$3,EDATE($E18,MAX(0,ROUNDUP(((YEAR(U$3)-YEAR($E18))*12+MONTH(U$3)-MONTH($E18))/$G18,0)*$G18)+$G18),EDATE($E18,MAX(0,ROUNDUP(((YEAR(U$3)-YEAR($E18))*12+MONTH(U$3)-MONTH($E18))/$G18,0)*$G18)))&gt;=U$3,IF(EDATE($E18,MAX(0,ROUNDUP(((YEAR(U$3)-YEAR($E18))*12+MONTH(U$3)-MONTH($E18))/$G18,0)*$G18))&lt;U$3,EDATE($E18,MAX(0,ROUNDUP(((YEAR(U$3)-YEAR($E18))*12+MONTH(U$3)-MONTH($E18))/$G18,0)*$G18)+$G18),EDATE($E18,MAX(0,ROUNDUP(((YEAR(U$3)-YEAR($E18))*12+MONTH(U$3)-MONTH($E18))/$G18,0)*$G18)))&lt;=IF($F18="",U$4,MIN(U$4,$F18))),1,0)))))</f>
        <v>0</v>
      </c>
      <c r="V18" s="25" t="n">
        <f aca="false">IF(OR($C18="",$C18=0,$E18="",$B18="",$G18=-2),0,$C18*IF($G18=0,IF(IF($F18="",V$4,MIN(V$4,$F18))&lt;$E18,0,MAX(0,INT((IF($F18="",V$4,MIN(V$4,$F18))-$E18)/7)+1-MAX(0,ROUNDUP((V$3-$E18)/7,0)))),IF($G18=101,(AND(EOMONTH(V$3,0)&gt;=MAX(V$3,$E18),EOMONTH(V$3,0)&lt;=IF($F18="",V$4,MIN(V$4,$F18)))*1+AND(EOMONTH(V$4,0)&lt;&gt;EOMONTH(V$3,0),EOMONTH(V$4,0)&gt;=MAX(V$3,$E18),EOMONTH(V$4,0)&lt;=IF($F18="",V$4,MIN(V$4,$F18)))*1),IF($G18=102,(AND(WORKDAY(EOMONTH(V$3,0)+1,-3)&gt;=MAX(V$3,$E18),WORKDAY(EOMONTH(V$3,0)+1,-3)&lt;=IF($F18="",V$4,MIN(V$4,$F18)))*1+AND(WORKDAY(EOMONTH(V$4,0)+1,-3)&lt;&gt;WORKDAY(EOMONTH(V$3,0)+1,-3),WORKDAY(EOMONTH(V$4,0)+1,-3)&gt;=MAX(V$3,$E18),WORKDAY(EOMONTH(V$4,0)+1,-3)&lt;=IF($F18="",V$4,MIN(V$4,$F18)))*1),IF(AND(IF(EDATE($E18,MAX(0,ROUNDUP(((YEAR(V$3)-YEAR($E18))*12+MONTH(V$3)-MONTH($E18))/$G18,0)*$G18))&lt;V$3,EDATE($E18,MAX(0,ROUNDUP(((YEAR(V$3)-YEAR($E18))*12+MONTH(V$3)-MONTH($E18))/$G18,0)*$G18)+$G18),EDATE($E18,MAX(0,ROUNDUP(((YEAR(V$3)-YEAR($E18))*12+MONTH(V$3)-MONTH($E18))/$G18,0)*$G18)))&gt;=V$3,IF(EDATE($E18,MAX(0,ROUNDUP(((YEAR(V$3)-YEAR($E18))*12+MONTH(V$3)-MONTH($E18))/$G18,0)*$G18))&lt;V$3,EDATE($E18,MAX(0,ROUNDUP(((YEAR(V$3)-YEAR($E18))*12+MONTH(V$3)-MONTH($E18))/$G18,0)*$G18)+$G18),EDATE($E18,MAX(0,ROUNDUP(((YEAR(V$3)-YEAR($E18))*12+MONTH(V$3)-MONTH($E18))/$G18,0)*$G18)))&lt;=IF($F18="",V$4,MIN(V$4,$F18))),1,0)))))</f>
        <v>0</v>
      </c>
      <c r="W18" s="25" t="n">
        <f aca="false">IF(OR($C18="",$C18=0,$E18="",$B18="",$G18=-2),0,$C18*IF($G18=0,IF(IF($F18="",W$4,MIN(W$4,$F18))&lt;$E18,0,MAX(0,INT((IF($F18="",W$4,MIN(W$4,$F18))-$E18)/7)+1-MAX(0,ROUNDUP((W$3-$E18)/7,0)))),IF($G18=101,(AND(EOMONTH(W$3,0)&gt;=MAX(W$3,$E18),EOMONTH(W$3,0)&lt;=IF($F18="",W$4,MIN(W$4,$F18)))*1+AND(EOMONTH(W$4,0)&lt;&gt;EOMONTH(W$3,0),EOMONTH(W$4,0)&gt;=MAX(W$3,$E18),EOMONTH(W$4,0)&lt;=IF($F18="",W$4,MIN(W$4,$F18)))*1),IF($G18=102,(AND(WORKDAY(EOMONTH(W$3,0)+1,-3)&gt;=MAX(W$3,$E18),WORKDAY(EOMONTH(W$3,0)+1,-3)&lt;=IF($F18="",W$4,MIN(W$4,$F18)))*1+AND(WORKDAY(EOMONTH(W$4,0)+1,-3)&lt;&gt;WORKDAY(EOMONTH(W$3,0)+1,-3),WORKDAY(EOMONTH(W$4,0)+1,-3)&gt;=MAX(W$3,$E18),WORKDAY(EOMONTH(W$4,0)+1,-3)&lt;=IF($F18="",W$4,MIN(W$4,$F18)))*1),IF(AND(IF(EDATE($E18,MAX(0,ROUNDUP(((YEAR(W$3)-YEAR($E18))*12+MONTH(W$3)-MONTH($E18))/$G18,0)*$G18))&lt;W$3,EDATE($E18,MAX(0,ROUNDUP(((YEAR(W$3)-YEAR($E18))*12+MONTH(W$3)-MONTH($E18))/$G18,0)*$G18)+$G18),EDATE($E18,MAX(0,ROUNDUP(((YEAR(W$3)-YEAR($E18))*12+MONTH(W$3)-MONTH($E18))/$G18,0)*$G18)))&gt;=W$3,IF(EDATE($E18,MAX(0,ROUNDUP(((YEAR(W$3)-YEAR($E18))*12+MONTH(W$3)-MONTH($E18))/$G18,0)*$G18))&lt;W$3,EDATE($E18,MAX(0,ROUNDUP(((YEAR(W$3)-YEAR($E18))*12+MONTH(W$3)-MONTH($E18))/$G18,0)*$G18)+$G18),EDATE($E18,MAX(0,ROUNDUP(((YEAR(W$3)-YEAR($E18))*12+MONTH(W$3)-MONTH($E18))/$G18,0)*$G18)))&lt;=IF($F18="",W$4,MIN(W$4,$F18))),1,0)))))</f>
        <v>0</v>
      </c>
      <c r="X18" s="25" t="n">
        <f aca="false">IF(OR($C18="",$C18=0,$E18="",$B18="",$G18=-2),0,$C18*IF($G18=0,IF(IF($F18="",X$4,MIN(X$4,$F18))&lt;$E18,0,MAX(0,INT((IF($F18="",X$4,MIN(X$4,$F18))-$E18)/7)+1-MAX(0,ROUNDUP((X$3-$E18)/7,0)))),IF($G18=101,(AND(EOMONTH(X$3,0)&gt;=MAX(X$3,$E18),EOMONTH(X$3,0)&lt;=IF($F18="",X$4,MIN(X$4,$F18)))*1+AND(EOMONTH(X$4,0)&lt;&gt;EOMONTH(X$3,0),EOMONTH(X$4,0)&gt;=MAX(X$3,$E18),EOMONTH(X$4,0)&lt;=IF($F18="",X$4,MIN(X$4,$F18)))*1),IF($G18=102,(AND(WORKDAY(EOMONTH(X$3,0)+1,-3)&gt;=MAX(X$3,$E18),WORKDAY(EOMONTH(X$3,0)+1,-3)&lt;=IF($F18="",X$4,MIN(X$4,$F18)))*1+AND(WORKDAY(EOMONTH(X$4,0)+1,-3)&lt;&gt;WORKDAY(EOMONTH(X$3,0)+1,-3),WORKDAY(EOMONTH(X$4,0)+1,-3)&gt;=MAX(X$3,$E18),WORKDAY(EOMONTH(X$4,0)+1,-3)&lt;=IF($F18="",X$4,MIN(X$4,$F18)))*1),IF(AND(IF(EDATE($E18,MAX(0,ROUNDUP(((YEAR(X$3)-YEAR($E18))*12+MONTH(X$3)-MONTH($E18))/$G18,0)*$G18))&lt;X$3,EDATE($E18,MAX(0,ROUNDUP(((YEAR(X$3)-YEAR($E18))*12+MONTH(X$3)-MONTH($E18))/$G18,0)*$G18)+$G18),EDATE($E18,MAX(0,ROUNDUP(((YEAR(X$3)-YEAR($E18))*12+MONTH(X$3)-MONTH($E18))/$G18,0)*$G18)))&gt;=X$3,IF(EDATE($E18,MAX(0,ROUNDUP(((YEAR(X$3)-YEAR($E18))*12+MONTH(X$3)-MONTH($E18))/$G18,0)*$G18))&lt;X$3,EDATE($E18,MAX(0,ROUNDUP(((YEAR(X$3)-YEAR($E18))*12+MONTH(X$3)-MONTH($E18))/$G18,0)*$G18)+$G18),EDATE($E18,MAX(0,ROUNDUP(((YEAR(X$3)-YEAR($E18))*12+MONTH(X$3)-MONTH($E18))/$G18,0)*$G18)))&lt;=IF($F18="",X$4,MIN(X$4,$F18))),1,0)))))</f>
        <v>0</v>
      </c>
      <c r="Y18" s="25" t="n">
        <f aca="false">IF(OR($C18="",$C18=0,$E18="",$B18="",$G18=-2),0,$C18*IF($G18=0,IF(IF($F18="",Y$4,MIN(Y$4,$F18))&lt;$E18,0,MAX(0,INT((IF($F18="",Y$4,MIN(Y$4,$F18))-$E18)/7)+1-MAX(0,ROUNDUP((Y$3-$E18)/7,0)))),IF($G18=101,(AND(EOMONTH(Y$3,0)&gt;=MAX(Y$3,$E18),EOMONTH(Y$3,0)&lt;=IF($F18="",Y$4,MIN(Y$4,$F18)))*1+AND(EOMONTH(Y$4,0)&lt;&gt;EOMONTH(Y$3,0),EOMONTH(Y$4,0)&gt;=MAX(Y$3,$E18),EOMONTH(Y$4,0)&lt;=IF($F18="",Y$4,MIN(Y$4,$F18)))*1),IF($G18=102,(AND(WORKDAY(EOMONTH(Y$3,0)+1,-3)&gt;=MAX(Y$3,$E18),WORKDAY(EOMONTH(Y$3,0)+1,-3)&lt;=IF($F18="",Y$4,MIN(Y$4,$F18)))*1+AND(WORKDAY(EOMONTH(Y$4,0)+1,-3)&lt;&gt;WORKDAY(EOMONTH(Y$3,0)+1,-3),WORKDAY(EOMONTH(Y$4,0)+1,-3)&gt;=MAX(Y$3,$E18),WORKDAY(EOMONTH(Y$4,0)+1,-3)&lt;=IF($F18="",Y$4,MIN(Y$4,$F18)))*1),IF(AND(IF(EDATE($E18,MAX(0,ROUNDUP(((YEAR(Y$3)-YEAR($E18))*12+MONTH(Y$3)-MONTH($E18))/$G18,0)*$G18))&lt;Y$3,EDATE($E18,MAX(0,ROUNDUP(((YEAR(Y$3)-YEAR($E18))*12+MONTH(Y$3)-MONTH($E18))/$G18,0)*$G18)+$G18),EDATE($E18,MAX(0,ROUNDUP(((YEAR(Y$3)-YEAR($E18))*12+MONTH(Y$3)-MONTH($E18))/$G18,0)*$G18)))&gt;=Y$3,IF(EDATE($E18,MAX(0,ROUNDUP(((YEAR(Y$3)-YEAR($E18))*12+MONTH(Y$3)-MONTH($E18))/$G18,0)*$G18))&lt;Y$3,EDATE($E18,MAX(0,ROUNDUP(((YEAR(Y$3)-YEAR($E18))*12+MONTH(Y$3)-MONTH($E18))/$G18,0)*$G18)+$G18),EDATE($E18,MAX(0,ROUNDUP(((YEAR(Y$3)-YEAR($E18))*12+MONTH(Y$3)-MONTH($E18))/$G18,0)*$G18)))&lt;=IF($F18="",Y$4,MIN(Y$4,$F18))),1,0)))))</f>
        <v>0</v>
      </c>
      <c r="Z18" s="25" t="n">
        <f aca="false">IF(OR($C18="",$C18=0,$E18="",$B18="",$G18=-2),0,$C18*IF($G18=0,IF(IF($F18="",Z$4,MIN(Z$4,$F18))&lt;$E18,0,MAX(0,INT((IF($F18="",Z$4,MIN(Z$4,$F18))-$E18)/7)+1-MAX(0,ROUNDUP((Z$3-$E18)/7,0)))),IF($G18=101,(AND(EOMONTH(Z$3,0)&gt;=MAX(Z$3,$E18),EOMONTH(Z$3,0)&lt;=IF($F18="",Z$4,MIN(Z$4,$F18)))*1+AND(EOMONTH(Z$4,0)&lt;&gt;EOMONTH(Z$3,0),EOMONTH(Z$4,0)&gt;=MAX(Z$3,$E18),EOMONTH(Z$4,0)&lt;=IF($F18="",Z$4,MIN(Z$4,$F18)))*1),IF($G18=102,(AND(WORKDAY(EOMONTH(Z$3,0)+1,-3)&gt;=MAX(Z$3,$E18),WORKDAY(EOMONTH(Z$3,0)+1,-3)&lt;=IF($F18="",Z$4,MIN(Z$4,$F18)))*1+AND(WORKDAY(EOMONTH(Z$4,0)+1,-3)&lt;&gt;WORKDAY(EOMONTH(Z$3,0)+1,-3),WORKDAY(EOMONTH(Z$4,0)+1,-3)&gt;=MAX(Z$3,$E18),WORKDAY(EOMONTH(Z$4,0)+1,-3)&lt;=IF($F18="",Z$4,MIN(Z$4,$F18)))*1),IF(AND(IF(EDATE($E18,MAX(0,ROUNDUP(((YEAR(Z$3)-YEAR($E18))*12+MONTH(Z$3)-MONTH($E18))/$G18,0)*$G18))&lt;Z$3,EDATE($E18,MAX(0,ROUNDUP(((YEAR(Z$3)-YEAR($E18))*12+MONTH(Z$3)-MONTH($E18))/$G18,0)*$G18)+$G18),EDATE($E18,MAX(0,ROUNDUP(((YEAR(Z$3)-YEAR($E18))*12+MONTH(Z$3)-MONTH($E18))/$G18,0)*$G18)))&gt;=Z$3,IF(EDATE($E18,MAX(0,ROUNDUP(((YEAR(Z$3)-YEAR($E18))*12+MONTH(Z$3)-MONTH($E18))/$G18,0)*$G18))&lt;Z$3,EDATE($E18,MAX(0,ROUNDUP(((YEAR(Z$3)-YEAR($E18))*12+MONTH(Z$3)-MONTH($E18))/$G18,0)*$G18)+$G18),EDATE($E18,MAX(0,ROUNDUP(((YEAR(Z$3)-YEAR($E18))*12+MONTH(Z$3)-MONTH($E18))/$G18,0)*$G18)))&lt;=IF($F18="",Z$4,MIN(Z$4,$F18))),1,0)))))</f>
        <v>0</v>
      </c>
      <c r="AA18" s="25" t="n">
        <f aca="false">IF(OR($C18="",$C18=0,$E18="",$B18="",$G18=-2),0,$C18*IF($G18=0,IF(IF($F18="",AA$4,MIN(AA$4,$F18))&lt;$E18,0,MAX(0,INT((IF($F18="",AA$4,MIN(AA$4,$F18))-$E18)/7)+1-MAX(0,ROUNDUP((AA$3-$E18)/7,0)))),IF($G18=101,(AND(EOMONTH(AA$3,0)&gt;=MAX(AA$3,$E18),EOMONTH(AA$3,0)&lt;=IF($F18="",AA$4,MIN(AA$4,$F18)))*1+AND(EOMONTH(AA$4,0)&lt;&gt;EOMONTH(AA$3,0),EOMONTH(AA$4,0)&gt;=MAX(AA$3,$E18),EOMONTH(AA$4,0)&lt;=IF($F18="",AA$4,MIN(AA$4,$F18)))*1),IF($G18=102,(AND(WORKDAY(EOMONTH(AA$3,0)+1,-3)&gt;=MAX(AA$3,$E18),WORKDAY(EOMONTH(AA$3,0)+1,-3)&lt;=IF($F18="",AA$4,MIN(AA$4,$F18)))*1+AND(WORKDAY(EOMONTH(AA$4,0)+1,-3)&lt;&gt;WORKDAY(EOMONTH(AA$3,0)+1,-3),WORKDAY(EOMONTH(AA$4,0)+1,-3)&gt;=MAX(AA$3,$E18),WORKDAY(EOMONTH(AA$4,0)+1,-3)&lt;=IF($F18="",AA$4,MIN(AA$4,$F18)))*1),IF(AND(IF(EDATE($E18,MAX(0,ROUNDUP(((YEAR(AA$3)-YEAR($E18))*12+MONTH(AA$3)-MONTH($E18))/$G18,0)*$G18))&lt;AA$3,EDATE($E18,MAX(0,ROUNDUP(((YEAR(AA$3)-YEAR($E18))*12+MONTH(AA$3)-MONTH($E18))/$G18,0)*$G18)+$G18),EDATE($E18,MAX(0,ROUNDUP(((YEAR(AA$3)-YEAR($E18))*12+MONTH(AA$3)-MONTH($E18))/$G18,0)*$G18)))&gt;=AA$3,IF(EDATE($E18,MAX(0,ROUNDUP(((YEAR(AA$3)-YEAR($E18))*12+MONTH(AA$3)-MONTH($E18))/$G18,0)*$G18))&lt;AA$3,EDATE($E18,MAX(0,ROUNDUP(((YEAR(AA$3)-YEAR($E18))*12+MONTH(AA$3)-MONTH($E18))/$G18,0)*$G18)+$G18),EDATE($E18,MAX(0,ROUNDUP(((YEAR(AA$3)-YEAR($E18))*12+MONTH(AA$3)-MONTH($E18))/$G18,0)*$G18)))&lt;=IF($F18="",AA$4,MIN(AA$4,$F18))),1,0)))))</f>
        <v>0</v>
      </c>
      <c r="AB18" s="25" t="n">
        <f aca="false">IF(OR($C18="",$C18=0,$E18="",$B18="",$G18=-2),0,$C18*IF($G18=0,IF(IF($F18="",AB$4,MIN(AB$4,$F18))&lt;$E18,0,MAX(0,INT((IF($F18="",AB$4,MIN(AB$4,$F18))-$E18)/7)+1-MAX(0,ROUNDUP((AB$3-$E18)/7,0)))),IF($G18=101,(AND(EOMONTH(AB$3,0)&gt;=MAX(AB$3,$E18),EOMONTH(AB$3,0)&lt;=IF($F18="",AB$4,MIN(AB$4,$F18)))*1+AND(EOMONTH(AB$4,0)&lt;&gt;EOMONTH(AB$3,0),EOMONTH(AB$4,0)&gt;=MAX(AB$3,$E18),EOMONTH(AB$4,0)&lt;=IF($F18="",AB$4,MIN(AB$4,$F18)))*1),IF($G18=102,(AND(WORKDAY(EOMONTH(AB$3,0)+1,-3)&gt;=MAX(AB$3,$E18),WORKDAY(EOMONTH(AB$3,0)+1,-3)&lt;=IF($F18="",AB$4,MIN(AB$4,$F18)))*1+AND(WORKDAY(EOMONTH(AB$4,0)+1,-3)&lt;&gt;WORKDAY(EOMONTH(AB$3,0)+1,-3),WORKDAY(EOMONTH(AB$4,0)+1,-3)&gt;=MAX(AB$3,$E18),WORKDAY(EOMONTH(AB$4,0)+1,-3)&lt;=IF($F18="",AB$4,MIN(AB$4,$F18)))*1),IF(AND(IF(EDATE($E18,MAX(0,ROUNDUP(((YEAR(AB$3)-YEAR($E18))*12+MONTH(AB$3)-MONTH($E18))/$G18,0)*$G18))&lt;AB$3,EDATE($E18,MAX(0,ROUNDUP(((YEAR(AB$3)-YEAR($E18))*12+MONTH(AB$3)-MONTH($E18))/$G18,0)*$G18)+$G18),EDATE($E18,MAX(0,ROUNDUP(((YEAR(AB$3)-YEAR($E18))*12+MONTH(AB$3)-MONTH($E18))/$G18,0)*$G18)))&gt;=AB$3,IF(EDATE($E18,MAX(0,ROUNDUP(((YEAR(AB$3)-YEAR($E18))*12+MONTH(AB$3)-MONTH($E18))/$G18,0)*$G18))&lt;AB$3,EDATE($E18,MAX(0,ROUNDUP(((YEAR(AB$3)-YEAR($E18))*12+MONTH(AB$3)-MONTH($E18))/$G18,0)*$G18)+$G18),EDATE($E18,MAX(0,ROUNDUP(((YEAR(AB$3)-YEAR($E18))*12+MONTH(AB$3)-MONTH($E18))/$G18,0)*$G18)))&lt;=IF($F18="",AB$4,MIN(AB$4,$F18))),1,0)))))</f>
        <v>0</v>
      </c>
      <c r="AC18" s="25" t="n">
        <f aca="false">IF(OR($C18="",$C18=0,$E18="",$B18="",$G18=-2),0,$C18*IF($G18=0,IF(IF($F18="",AC$4,MIN(AC$4,$F18))&lt;$E18,0,MAX(0,INT((IF($F18="",AC$4,MIN(AC$4,$F18))-$E18)/7)+1-MAX(0,ROUNDUP((AC$3-$E18)/7,0)))),IF($G18=101,(AND(EOMONTH(AC$3,0)&gt;=MAX(AC$3,$E18),EOMONTH(AC$3,0)&lt;=IF($F18="",AC$4,MIN(AC$4,$F18)))*1+AND(EOMONTH(AC$4,0)&lt;&gt;EOMONTH(AC$3,0),EOMONTH(AC$4,0)&gt;=MAX(AC$3,$E18),EOMONTH(AC$4,0)&lt;=IF($F18="",AC$4,MIN(AC$4,$F18)))*1),IF($G18=102,(AND(WORKDAY(EOMONTH(AC$3,0)+1,-3)&gt;=MAX(AC$3,$E18),WORKDAY(EOMONTH(AC$3,0)+1,-3)&lt;=IF($F18="",AC$4,MIN(AC$4,$F18)))*1+AND(WORKDAY(EOMONTH(AC$4,0)+1,-3)&lt;&gt;WORKDAY(EOMONTH(AC$3,0)+1,-3),WORKDAY(EOMONTH(AC$4,0)+1,-3)&gt;=MAX(AC$3,$E18),WORKDAY(EOMONTH(AC$4,0)+1,-3)&lt;=IF($F18="",AC$4,MIN(AC$4,$F18)))*1),IF(AND(IF(EDATE($E18,MAX(0,ROUNDUP(((YEAR(AC$3)-YEAR($E18))*12+MONTH(AC$3)-MONTH($E18))/$G18,0)*$G18))&lt;AC$3,EDATE($E18,MAX(0,ROUNDUP(((YEAR(AC$3)-YEAR($E18))*12+MONTH(AC$3)-MONTH($E18))/$G18,0)*$G18)+$G18),EDATE($E18,MAX(0,ROUNDUP(((YEAR(AC$3)-YEAR($E18))*12+MONTH(AC$3)-MONTH($E18))/$G18,0)*$G18)))&gt;=AC$3,IF(EDATE($E18,MAX(0,ROUNDUP(((YEAR(AC$3)-YEAR($E18))*12+MONTH(AC$3)-MONTH($E18))/$G18,0)*$G18))&lt;AC$3,EDATE($E18,MAX(0,ROUNDUP(((YEAR(AC$3)-YEAR($E18))*12+MONTH(AC$3)-MONTH($E18))/$G18,0)*$G18)+$G18),EDATE($E18,MAX(0,ROUNDUP(((YEAR(AC$3)-YEAR($E18))*12+MONTH(AC$3)-MONTH($E18))/$G18,0)*$G18)))&lt;=IF($F18="",AC$4,MIN(AC$4,$F18))),1,0)))))</f>
        <v>0</v>
      </c>
      <c r="AD18" s="25" t="n">
        <f aca="false">IF(OR($C18="",$C18=0,$E18="",$B18="",$G18=-2),0,$C18*IF($G18=0,IF(IF($F18="",AD$4,MIN(AD$4,$F18))&lt;$E18,0,MAX(0,INT((IF($F18="",AD$4,MIN(AD$4,$F18))-$E18)/7)+1-MAX(0,ROUNDUP((AD$3-$E18)/7,0)))),IF($G18=101,(AND(EOMONTH(AD$3,0)&gt;=MAX(AD$3,$E18),EOMONTH(AD$3,0)&lt;=IF($F18="",AD$4,MIN(AD$4,$F18)))*1+AND(EOMONTH(AD$4,0)&lt;&gt;EOMONTH(AD$3,0),EOMONTH(AD$4,0)&gt;=MAX(AD$3,$E18),EOMONTH(AD$4,0)&lt;=IF($F18="",AD$4,MIN(AD$4,$F18)))*1),IF($G18=102,(AND(WORKDAY(EOMONTH(AD$3,0)+1,-3)&gt;=MAX(AD$3,$E18),WORKDAY(EOMONTH(AD$3,0)+1,-3)&lt;=IF($F18="",AD$4,MIN(AD$4,$F18)))*1+AND(WORKDAY(EOMONTH(AD$4,0)+1,-3)&lt;&gt;WORKDAY(EOMONTH(AD$3,0)+1,-3),WORKDAY(EOMONTH(AD$4,0)+1,-3)&gt;=MAX(AD$3,$E18),WORKDAY(EOMONTH(AD$4,0)+1,-3)&lt;=IF($F18="",AD$4,MIN(AD$4,$F18)))*1),IF(AND(IF(EDATE($E18,MAX(0,ROUNDUP(((YEAR(AD$3)-YEAR($E18))*12+MONTH(AD$3)-MONTH($E18))/$G18,0)*$G18))&lt;AD$3,EDATE($E18,MAX(0,ROUNDUP(((YEAR(AD$3)-YEAR($E18))*12+MONTH(AD$3)-MONTH($E18))/$G18,0)*$G18)+$G18),EDATE($E18,MAX(0,ROUNDUP(((YEAR(AD$3)-YEAR($E18))*12+MONTH(AD$3)-MONTH($E18))/$G18,0)*$G18)))&gt;=AD$3,IF(EDATE($E18,MAX(0,ROUNDUP(((YEAR(AD$3)-YEAR($E18))*12+MONTH(AD$3)-MONTH($E18))/$G18,0)*$G18))&lt;AD$3,EDATE($E18,MAX(0,ROUNDUP(((YEAR(AD$3)-YEAR($E18))*12+MONTH(AD$3)-MONTH($E18))/$G18,0)*$G18)+$G18),EDATE($E18,MAX(0,ROUNDUP(((YEAR(AD$3)-YEAR($E18))*12+MONTH(AD$3)-MONTH($E18))/$G18,0)*$G18)))&lt;=IF($F18="",AD$4,MIN(AD$4,$F18))),1,0)))))</f>
        <v>0</v>
      </c>
      <c r="AE18" s="25" t="n">
        <f aca="false">IF(OR($C18="",$C18=0,$E18="",$B18="",$G18=-2),0,$C18*IF($G18=0,IF(IF($F18="",AE$4,MIN(AE$4,$F18))&lt;$E18,0,MAX(0,INT((IF($F18="",AE$4,MIN(AE$4,$F18))-$E18)/7)+1-MAX(0,ROUNDUP((AE$3-$E18)/7,0)))),IF($G18=101,(AND(EOMONTH(AE$3,0)&gt;=MAX(AE$3,$E18),EOMONTH(AE$3,0)&lt;=IF($F18="",AE$4,MIN(AE$4,$F18)))*1+AND(EOMONTH(AE$4,0)&lt;&gt;EOMONTH(AE$3,0),EOMONTH(AE$4,0)&gt;=MAX(AE$3,$E18),EOMONTH(AE$4,0)&lt;=IF($F18="",AE$4,MIN(AE$4,$F18)))*1),IF($G18=102,(AND(WORKDAY(EOMONTH(AE$3,0)+1,-3)&gt;=MAX(AE$3,$E18),WORKDAY(EOMONTH(AE$3,0)+1,-3)&lt;=IF($F18="",AE$4,MIN(AE$4,$F18)))*1+AND(WORKDAY(EOMONTH(AE$4,0)+1,-3)&lt;&gt;WORKDAY(EOMONTH(AE$3,0)+1,-3),WORKDAY(EOMONTH(AE$4,0)+1,-3)&gt;=MAX(AE$3,$E18),WORKDAY(EOMONTH(AE$4,0)+1,-3)&lt;=IF($F18="",AE$4,MIN(AE$4,$F18)))*1),IF(AND(IF(EDATE($E18,MAX(0,ROUNDUP(((YEAR(AE$3)-YEAR($E18))*12+MONTH(AE$3)-MONTH($E18))/$G18,0)*$G18))&lt;AE$3,EDATE($E18,MAX(0,ROUNDUP(((YEAR(AE$3)-YEAR($E18))*12+MONTH(AE$3)-MONTH($E18))/$G18,0)*$G18)+$G18),EDATE($E18,MAX(0,ROUNDUP(((YEAR(AE$3)-YEAR($E18))*12+MONTH(AE$3)-MONTH($E18))/$G18,0)*$G18)))&gt;=AE$3,IF(EDATE($E18,MAX(0,ROUNDUP(((YEAR(AE$3)-YEAR($E18))*12+MONTH(AE$3)-MONTH($E18))/$G18,0)*$G18))&lt;AE$3,EDATE($E18,MAX(0,ROUNDUP(((YEAR(AE$3)-YEAR($E18))*12+MONTH(AE$3)-MONTH($E18))/$G18,0)*$G18)+$G18),EDATE($E18,MAX(0,ROUNDUP(((YEAR(AE$3)-YEAR($E18))*12+MONTH(AE$3)-MONTH($E18))/$G18,0)*$G18)))&lt;=IF($F18="",AE$4,MIN(AE$4,$F18))),1,0)))))</f>
        <v>0</v>
      </c>
      <c r="AF18" s="25" t="n">
        <f aca="false">IF(OR($C18="",$C18=0,$E18="",$B18="",$G18=-2),0,$C18*IF($G18=0,IF(IF($F18="",AF$4,MIN(AF$4,$F18))&lt;$E18,0,MAX(0,INT((IF($F18="",AF$4,MIN(AF$4,$F18))-$E18)/7)+1-MAX(0,ROUNDUP((AF$3-$E18)/7,0)))),IF($G18=101,(AND(EOMONTH(AF$3,0)&gt;=MAX(AF$3,$E18),EOMONTH(AF$3,0)&lt;=IF($F18="",AF$4,MIN(AF$4,$F18)))*1+AND(EOMONTH(AF$4,0)&lt;&gt;EOMONTH(AF$3,0),EOMONTH(AF$4,0)&gt;=MAX(AF$3,$E18),EOMONTH(AF$4,0)&lt;=IF($F18="",AF$4,MIN(AF$4,$F18)))*1),IF($G18=102,(AND(WORKDAY(EOMONTH(AF$3,0)+1,-3)&gt;=MAX(AF$3,$E18),WORKDAY(EOMONTH(AF$3,0)+1,-3)&lt;=IF($F18="",AF$4,MIN(AF$4,$F18)))*1+AND(WORKDAY(EOMONTH(AF$4,0)+1,-3)&lt;&gt;WORKDAY(EOMONTH(AF$3,0)+1,-3),WORKDAY(EOMONTH(AF$4,0)+1,-3)&gt;=MAX(AF$3,$E18),WORKDAY(EOMONTH(AF$4,0)+1,-3)&lt;=IF($F18="",AF$4,MIN(AF$4,$F18)))*1),IF(AND(IF(EDATE($E18,MAX(0,ROUNDUP(((YEAR(AF$3)-YEAR($E18))*12+MONTH(AF$3)-MONTH($E18))/$G18,0)*$G18))&lt;AF$3,EDATE($E18,MAX(0,ROUNDUP(((YEAR(AF$3)-YEAR($E18))*12+MONTH(AF$3)-MONTH($E18))/$G18,0)*$G18)+$G18),EDATE($E18,MAX(0,ROUNDUP(((YEAR(AF$3)-YEAR($E18))*12+MONTH(AF$3)-MONTH($E18))/$G18,0)*$G18)))&gt;=AF$3,IF(EDATE($E18,MAX(0,ROUNDUP(((YEAR(AF$3)-YEAR($E18))*12+MONTH(AF$3)-MONTH($E18))/$G18,0)*$G18))&lt;AF$3,EDATE($E18,MAX(0,ROUNDUP(((YEAR(AF$3)-YEAR($E18))*12+MONTH(AF$3)-MONTH($E18))/$G18,0)*$G18)+$G18),EDATE($E18,MAX(0,ROUNDUP(((YEAR(AF$3)-YEAR($E18))*12+MONTH(AF$3)-MONTH($E18))/$G18,0)*$G18)))&lt;=IF($F18="",AF$4,MIN(AF$4,$F18))),1,0)))))</f>
        <v>0</v>
      </c>
    </row>
    <row r="19" customFormat="false" ht="15" hidden="false" customHeight="false" outlineLevel="0" collapsed="false">
      <c r="A19" s="5"/>
      <c r="B19" s="5"/>
      <c r="C19" s="8"/>
      <c r="D19" s="5"/>
      <c r="E19" s="7"/>
      <c r="F19" s="7"/>
      <c r="G19" s="24" t="n">
        <f aca="false">IFERROR(INDEX(Listen!$E$2:$E$8,MATCH(D19,Listen!$D$2:$D$8,0)),-2)</f>
        <v>-2</v>
      </c>
      <c r="H19" s="25" t="n">
        <f aca="false">IF(OR($C19="",$C19=0,$E19="",$B19="",$G19=-2),0,$C19*IF($G19=0,IF(IF($F19="",H$4,MIN(H$4,$F19))&lt;$E19,0,MAX(0,INT((IF($F19="",H$4,MIN(H$4,$F19))-$E19)/7)+1-MAX(0,ROUNDUP((H$3-$E19)/7,0)))),IF($G19=101,(AND(EOMONTH(H$3,0)&gt;=MAX(H$3,$E19),EOMONTH(H$3,0)&lt;=IF($F19="",H$4,MIN(H$4,$F19)))*1+AND(EOMONTH(H$4,0)&lt;&gt;EOMONTH(H$3,0),EOMONTH(H$4,0)&gt;=MAX(H$3,$E19),EOMONTH(H$4,0)&lt;=IF($F19="",H$4,MIN(H$4,$F19)))*1),IF($G19=102,(AND(WORKDAY(EOMONTH(H$3,0)+1,-3)&gt;=MAX(H$3,$E19),WORKDAY(EOMONTH(H$3,0)+1,-3)&lt;=IF($F19="",H$4,MIN(H$4,$F19)))*1+AND(WORKDAY(EOMONTH(H$4,0)+1,-3)&lt;&gt;WORKDAY(EOMONTH(H$3,0)+1,-3),WORKDAY(EOMONTH(H$4,0)+1,-3)&gt;=MAX(H$3,$E19),WORKDAY(EOMONTH(H$4,0)+1,-3)&lt;=IF($F19="",H$4,MIN(H$4,$F19)))*1),IF(AND(IF(EDATE($E19,MAX(0,ROUNDUP(((YEAR(H$3)-YEAR($E19))*12+MONTH(H$3)-MONTH($E19))/$G19,0)*$G19))&lt;H$3,EDATE($E19,MAX(0,ROUNDUP(((YEAR(H$3)-YEAR($E19))*12+MONTH(H$3)-MONTH($E19))/$G19,0)*$G19)+$G19),EDATE($E19,MAX(0,ROUNDUP(((YEAR(H$3)-YEAR($E19))*12+MONTH(H$3)-MONTH($E19))/$G19,0)*$G19)))&gt;=H$3,IF(EDATE($E19,MAX(0,ROUNDUP(((YEAR(H$3)-YEAR($E19))*12+MONTH(H$3)-MONTH($E19))/$G19,0)*$G19))&lt;H$3,EDATE($E19,MAX(0,ROUNDUP(((YEAR(H$3)-YEAR($E19))*12+MONTH(H$3)-MONTH($E19))/$G19,0)*$G19)+$G19),EDATE($E19,MAX(0,ROUNDUP(((YEAR(H$3)-YEAR($E19))*12+MONTH(H$3)-MONTH($E19))/$G19,0)*$G19)))&lt;=IF($F19="",H$4,MIN(H$4,$F19))),1,0)))))</f>
        <v>0</v>
      </c>
      <c r="I19" s="25" t="n">
        <f aca="false">IF(OR($C19="",$C19=0,$E19="",$B19="",$G19=-2),0,$C19*IF($G19=0,IF(IF($F19="",I$4,MIN(I$4,$F19))&lt;$E19,0,MAX(0,INT((IF($F19="",I$4,MIN(I$4,$F19))-$E19)/7)+1-MAX(0,ROUNDUP((I$3-$E19)/7,0)))),IF($G19=101,(AND(EOMONTH(I$3,0)&gt;=MAX(I$3,$E19),EOMONTH(I$3,0)&lt;=IF($F19="",I$4,MIN(I$4,$F19)))*1+AND(EOMONTH(I$4,0)&lt;&gt;EOMONTH(I$3,0),EOMONTH(I$4,0)&gt;=MAX(I$3,$E19),EOMONTH(I$4,0)&lt;=IF($F19="",I$4,MIN(I$4,$F19)))*1),IF($G19=102,(AND(WORKDAY(EOMONTH(I$3,0)+1,-3)&gt;=MAX(I$3,$E19),WORKDAY(EOMONTH(I$3,0)+1,-3)&lt;=IF($F19="",I$4,MIN(I$4,$F19)))*1+AND(WORKDAY(EOMONTH(I$4,0)+1,-3)&lt;&gt;WORKDAY(EOMONTH(I$3,0)+1,-3),WORKDAY(EOMONTH(I$4,0)+1,-3)&gt;=MAX(I$3,$E19),WORKDAY(EOMONTH(I$4,0)+1,-3)&lt;=IF($F19="",I$4,MIN(I$4,$F19)))*1),IF(AND(IF(EDATE($E19,MAX(0,ROUNDUP(((YEAR(I$3)-YEAR($E19))*12+MONTH(I$3)-MONTH($E19))/$G19,0)*$G19))&lt;I$3,EDATE($E19,MAX(0,ROUNDUP(((YEAR(I$3)-YEAR($E19))*12+MONTH(I$3)-MONTH($E19))/$G19,0)*$G19)+$G19),EDATE($E19,MAX(0,ROUNDUP(((YEAR(I$3)-YEAR($E19))*12+MONTH(I$3)-MONTH($E19))/$G19,0)*$G19)))&gt;=I$3,IF(EDATE($E19,MAX(0,ROUNDUP(((YEAR(I$3)-YEAR($E19))*12+MONTH(I$3)-MONTH($E19))/$G19,0)*$G19))&lt;I$3,EDATE($E19,MAX(0,ROUNDUP(((YEAR(I$3)-YEAR($E19))*12+MONTH(I$3)-MONTH($E19))/$G19,0)*$G19)+$G19),EDATE($E19,MAX(0,ROUNDUP(((YEAR(I$3)-YEAR($E19))*12+MONTH(I$3)-MONTH($E19))/$G19,0)*$G19)))&lt;=IF($F19="",I$4,MIN(I$4,$F19))),1,0)))))</f>
        <v>0</v>
      </c>
      <c r="J19" s="25" t="n">
        <f aca="false">IF(OR($C19="",$C19=0,$E19="",$B19="",$G19=-2),0,$C19*IF($G19=0,IF(IF($F19="",J$4,MIN(J$4,$F19))&lt;$E19,0,MAX(0,INT((IF($F19="",J$4,MIN(J$4,$F19))-$E19)/7)+1-MAX(0,ROUNDUP((J$3-$E19)/7,0)))),IF($G19=101,(AND(EOMONTH(J$3,0)&gt;=MAX(J$3,$E19),EOMONTH(J$3,0)&lt;=IF($F19="",J$4,MIN(J$4,$F19)))*1+AND(EOMONTH(J$4,0)&lt;&gt;EOMONTH(J$3,0),EOMONTH(J$4,0)&gt;=MAX(J$3,$E19),EOMONTH(J$4,0)&lt;=IF($F19="",J$4,MIN(J$4,$F19)))*1),IF($G19=102,(AND(WORKDAY(EOMONTH(J$3,0)+1,-3)&gt;=MAX(J$3,$E19),WORKDAY(EOMONTH(J$3,0)+1,-3)&lt;=IF($F19="",J$4,MIN(J$4,$F19)))*1+AND(WORKDAY(EOMONTH(J$4,0)+1,-3)&lt;&gt;WORKDAY(EOMONTH(J$3,0)+1,-3),WORKDAY(EOMONTH(J$4,0)+1,-3)&gt;=MAX(J$3,$E19),WORKDAY(EOMONTH(J$4,0)+1,-3)&lt;=IF($F19="",J$4,MIN(J$4,$F19)))*1),IF(AND(IF(EDATE($E19,MAX(0,ROUNDUP(((YEAR(J$3)-YEAR($E19))*12+MONTH(J$3)-MONTH($E19))/$G19,0)*$G19))&lt;J$3,EDATE($E19,MAX(0,ROUNDUP(((YEAR(J$3)-YEAR($E19))*12+MONTH(J$3)-MONTH($E19))/$G19,0)*$G19)+$G19),EDATE($E19,MAX(0,ROUNDUP(((YEAR(J$3)-YEAR($E19))*12+MONTH(J$3)-MONTH($E19))/$G19,0)*$G19)))&gt;=J$3,IF(EDATE($E19,MAX(0,ROUNDUP(((YEAR(J$3)-YEAR($E19))*12+MONTH(J$3)-MONTH($E19))/$G19,0)*$G19))&lt;J$3,EDATE($E19,MAX(0,ROUNDUP(((YEAR(J$3)-YEAR($E19))*12+MONTH(J$3)-MONTH($E19))/$G19,0)*$G19)+$G19),EDATE($E19,MAX(0,ROUNDUP(((YEAR(J$3)-YEAR($E19))*12+MONTH(J$3)-MONTH($E19))/$G19,0)*$G19)))&lt;=IF($F19="",J$4,MIN(J$4,$F19))),1,0)))))</f>
        <v>0</v>
      </c>
      <c r="K19" s="25" t="n">
        <f aca="false">IF(OR($C19="",$C19=0,$E19="",$B19="",$G19=-2),0,$C19*IF($G19=0,IF(IF($F19="",K$4,MIN(K$4,$F19))&lt;$E19,0,MAX(0,INT((IF($F19="",K$4,MIN(K$4,$F19))-$E19)/7)+1-MAX(0,ROUNDUP((K$3-$E19)/7,0)))),IF($G19=101,(AND(EOMONTH(K$3,0)&gt;=MAX(K$3,$E19),EOMONTH(K$3,0)&lt;=IF($F19="",K$4,MIN(K$4,$F19)))*1+AND(EOMONTH(K$4,0)&lt;&gt;EOMONTH(K$3,0),EOMONTH(K$4,0)&gt;=MAX(K$3,$E19),EOMONTH(K$4,0)&lt;=IF($F19="",K$4,MIN(K$4,$F19)))*1),IF($G19=102,(AND(WORKDAY(EOMONTH(K$3,0)+1,-3)&gt;=MAX(K$3,$E19),WORKDAY(EOMONTH(K$3,0)+1,-3)&lt;=IF($F19="",K$4,MIN(K$4,$F19)))*1+AND(WORKDAY(EOMONTH(K$4,0)+1,-3)&lt;&gt;WORKDAY(EOMONTH(K$3,0)+1,-3),WORKDAY(EOMONTH(K$4,0)+1,-3)&gt;=MAX(K$3,$E19),WORKDAY(EOMONTH(K$4,0)+1,-3)&lt;=IF($F19="",K$4,MIN(K$4,$F19)))*1),IF(AND(IF(EDATE($E19,MAX(0,ROUNDUP(((YEAR(K$3)-YEAR($E19))*12+MONTH(K$3)-MONTH($E19))/$G19,0)*$G19))&lt;K$3,EDATE($E19,MAX(0,ROUNDUP(((YEAR(K$3)-YEAR($E19))*12+MONTH(K$3)-MONTH($E19))/$G19,0)*$G19)+$G19),EDATE($E19,MAX(0,ROUNDUP(((YEAR(K$3)-YEAR($E19))*12+MONTH(K$3)-MONTH($E19))/$G19,0)*$G19)))&gt;=K$3,IF(EDATE($E19,MAX(0,ROUNDUP(((YEAR(K$3)-YEAR($E19))*12+MONTH(K$3)-MONTH($E19))/$G19,0)*$G19))&lt;K$3,EDATE($E19,MAX(0,ROUNDUP(((YEAR(K$3)-YEAR($E19))*12+MONTH(K$3)-MONTH($E19))/$G19,0)*$G19)+$G19),EDATE($E19,MAX(0,ROUNDUP(((YEAR(K$3)-YEAR($E19))*12+MONTH(K$3)-MONTH($E19))/$G19,0)*$G19)))&lt;=IF($F19="",K$4,MIN(K$4,$F19))),1,0)))))</f>
        <v>0</v>
      </c>
      <c r="L19" s="25" t="n">
        <f aca="false">IF(OR($C19="",$C19=0,$E19="",$B19="",$G19=-2),0,$C19*IF($G19=0,IF(IF($F19="",L$4,MIN(L$4,$F19))&lt;$E19,0,MAX(0,INT((IF($F19="",L$4,MIN(L$4,$F19))-$E19)/7)+1-MAX(0,ROUNDUP((L$3-$E19)/7,0)))),IF($G19=101,(AND(EOMONTH(L$3,0)&gt;=MAX(L$3,$E19),EOMONTH(L$3,0)&lt;=IF($F19="",L$4,MIN(L$4,$F19)))*1+AND(EOMONTH(L$4,0)&lt;&gt;EOMONTH(L$3,0),EOMONTH(L$4,0)&gt;=MAX(L$3,$E19),EOMONTH(L$4,0)&lt;=IF($F19="",L$4,MIN(L$4,$F19)))*1),IF($G19=102,(AND(WORKDAY(EOMONTH(L$3,0)+1,-3)&gt;=MAX(L$3,$E19),WORKDAY(EOMONTH(L$3,0)+1,-3)&lt;=IF($F19="",L$4,MIN(L$4,$F19)))*1+AND(WORKDAY(EOMONTH(L$4,0)+1,-3)&lt;&gt;WORKDAY(EOMONTH(L$3,0)+1,-3),WORKDAY(EOMONTH(L$4,0)+1,-3)&gt;=MAX(L$3,$E19),WORKDAY(EOMONTH(L$4,0)+1,-3)&lt;=IF($F19="",L$4,MIN(L$4,$F19)))*1),IF(AND(IF(EDATE($E19,MAX(0,ROUNDUP(((YEAR(L$3)-YEAR($E19))*12+MONTH(L$3)-MONTH($E19))/$G19,0)*$G19))&lt;L$3,EDATE($E19,MAX(0,ROUNDUP(((YEAR(L$3)-YEAR($E19))*12+MONTH(L$3)-MONTH($E19))/$G19,0)*$G19)+$G19),EDATE($E19,MAX(0,ROUNDUP(((YEAR(L$3)-YEAR($E19))*12+MONTH(L$3)-MONTH($E19))/$G19,0)*$G19)))&gt;=L$3,IF(EDATE($E19,MAX(0,ROUNDUP(((YEAR(L$3)-YEAR($E19))*12+MONTH(L$3)-MONTH($E19))/$G19,0)*$G19))&lt;L$3,EDATE($E19,MAX(0,ROUNDUP(((YEAR(L$3)-YEAR($E19))*12+MONTH(L$3)-MONTH($E19))/$G19,0)*$G19)+$G19),EDATE($E19,MAX(0,ROUNDUP(((YEAR(L$3)-YEAR($E19))*12+MONTH(L$3)-MONTH($E19))/$G19,0)*$G19)))&lt;=IF($F19="",L$4,MIN(L$4,$F19))),1,0)))))</f>
        <v>0</v>
      </c>
      <c r="M19" s="25" t="n">
        <f aca="false">IF(OR($C19="",$C19=0,$E19="",$B19="",$G19=-2),0,$C19*IF($G19=0,IF(IF($F19="",M$4,MIN(M$4,$F19))&lt;$E19,0,MAX(0,INT((IF($F19="",M$4,MIN(M$4,$F19))-$E19)/7)+1-MAX(0,ROUNDUP((M$3-$E19)/7,0)))),IF($G19=101,(AND(EOMONTH(M$3,0)&gt;=MAX(M$3,$E19),EOMONTH(M$3,0)&lt;=IF($F19="",M$4,MIN(M$4,$F19)))*1+AND(EOMONTH(M$4,0)&lt;&gt;EOMONTH(M$3,0),EOMONTH(M$4,0)&gt;=MAX(M$3,$E19),EOMONTH(M$4,0)&lt;=IF($F19="",M$4,MIN(M$4,$F19)))*1),IF($G19=102,(AND(WORKDAY(EOMONTH(M$3,0)+1,-3)&gt;=MAX(M$3,$E19),WORKDAY(EOMONTH(M$3,0)+1,-3)&lt;=IF($F19="",M$4,MIN(M$4,$F19)))*1+AND(WORKDAY(EOMONTH(M$4,0)+1,-3)&lt;&gt;WORKDAY(EOMONTH(M$3,0)+1,-3),WORKDAY(EOMONTH(M$4,0)+1,-3)&gt;=MAX(M$3,$E19),WORKDAY(EOMONTH(M$4,0)+1,-3)&lt;=IF($F19="",M$4,MIN(M$4,$F19)))*1),IF(AND(IF(EDATE($E19,MAX(0,ROUNDUP(((YEAR(M$3)-YEAR($E19))*12+MONTH(M$3)-MONTH($E19))/$G19,0)*$G19))&lt;M$3,EDATE($E19,MAX(0,ROUNDUP(((YEAR(M$3)-YEAR($E19))*12+MONTH(M$3)-MONTH($E19))/$G19,0)*$G19)+$G19),EDATE($E19,MAX(0,ROUNDUP(((YEAR(M$3)-YEAR($E19))*12+MONTH(M$3)-MONTH($E19))/$G19,0)*$G19)))&gt;=M$3,IF(EDATE($E19,MAX(0,ROUNDUP(((YEAR(M$3)-YEAR($E19))*12+MONTH(M$3)-MONTH($E19))/$G19,0)*$G19))&lt;M$3,EDATE($E19,MAX(0,ROUNDUP(((YEAR(M$3)-YEAR($E19))*12+MONTH(M$3)-MONTH($E19))/$G19,0)*$G19)+$G19),EDATE($E19,MAX(0,ROUNDUP(((YEAR(M$3)-YEAR($E19))*12+MONTH(M$3)-MONTH($E19))/$G19,0)*$G19)))&lt;=IF($F19="",M$4,MIN(M$4,$F19))),1,0)))))</f>
        <v>0</v>
      </c>
      <c r="N19" s="25" t="n">
        <f aca="false">IF(OR($C19="",$C19=0,$E19="",$B19="",$G19=-2),0,$C19*IF($G19=0,IF(IF($F19="",N$4,MIN(N$4,$F19))&lt;$E19,0,MAX(0,INT((IF($F19="",N$4,MIN(N$4,$F19))-$E19)/7)+1-MAX(0,ROUNDUP((N$3-$E19)/7,0)))),IF($G19=101,(AND(EOMONTH(N$3,0)&gt;=MAX(N$3,$E19),EOMONTH(N$3,0)&lt;=IF($F19="",N$4,MIN(N$4,$F19)))*1+AND(EOMONTH(N$4,0)&lt;&gt;EOMONTH(N$3,0),EOMONTH(N$4,0)&gt;=MAX(N$3,$E19),EOMONTH(N$4,0)&lt;=IF($F19="",N$4,MIN(N$4,$F19)))*1),IF($G19=102,(AND(WORKDAY(EOMONTH(N$3,0)+1,-3)&gt;=MAX(N$3,$E19),WORKDAY(EOMONTH(N$3,0)+1,-3)&lt;=IF($F19="",N$4,MIN(N$4,$F19)))*1+AND(WORKDAY(EOMONTH(N$4,0)+1,-3)&lt;&gt;WORKDAY(EOMONTH(N$3,0)+1,-3),WORKDAY(EOMONTH(N$4,0)+1,-3)&gt;=MAX(N$3,$E19),WORKDAY(EOMONTH(N$4,0)+1,-3)&lt;=IF($F19="",N$4,MIN(N$4,$F19)))*1),IF(AND(IF(EDATE($E19,MAX(0,ROUNDUP(((YEAR(N$3)-YEAR($E19))*12+MONTH(N$3)-MONTH($E19))/$G19,0)*$G19))&lt;N$3,EDATE($E19,MAX(0,ROUNDUP(((YEAR(N$3)-YEAR($E19))*12+MONTH(N$3)-MONTH($E19))/$G19,0)*$G19)+$G19),EDATE($E19,MAX(0,ROUNDUP(((YEAR(N$3)-YEAR($E19))*12+MONTH(N$3)-MONTH($E19))/$G19,0)*$G19)))&gt;=N$3,IF(EDATE($E19,MAX(0,ROUNDUP(((YEAR(N$3)-YEAR($E19))*12+MONTH(N$3)-MONTH($E19))/$G19,0)*$G19))&lt;N$3,EDATE($E19,MAX(0,ROUNDUP(((YEAR(N$3)-YEAR($E19))*12+MONTH(N$3)-MONTH($E19))/$G19,0)*$G19)+$G19),EDATE($E19,MAX(0,ROUNDUP(((YEAR(N$3)-YEAR($E19))*12+MONTH(N$3)-MONTH($E19))/$G19,0)*$G19)))&lt;=IF($F19="",N$4,MIN(N$4,$F19))),1,0)))))</f>
        <v>0</v>
      </c>
      <c r="O19" s="25" t="n">
        <f aca="false">IF(OR($C19="",$C19=0,$E19="",$B19="",$G19=-2),0,$C19*IF($G19=0,IF(IF($F19="",O$4,MIN(O$4,$F19))&lt;$E19,0,MAX(0,INT((IF($F19="",O$4,MIN(O$4,$F19))-$E19)/7)+1-MAX(0,ROUNDUP((O$3-$E19)/7,0)))),IF($G19=101,(AND(EOMONTH(O$3,0)&gt;=MAX(O$3,$E19),EOMONTH(O$3,0)&lt;=IF($F19="",O$4,MIN(O$4,$F19)))*1+AND(EOMONTH(O$4,0)&lt;&gt;EOMONTH(O$3,0),EOMONTH(O$4,0)&gt;=MAX(O$3,$E19),EOMONTH(O$4,0)&lt;=IF($F19="",O$4,MIN(O$4,$F19)))*1),IF($G19=102,(AND(WORKDAY(EOMONTH(O$3,0)+1,-3)&gt;=MAX(O$3,$E19),WORKDAY(EOMONTH(O$3,0)+1,-3)&lt;=IF($F19="",O$4,MIN(O$4,$F19)))*1+AND(WORKDAY(EOMONTH(O$4,0)+1,-3)&lt;&gt;WORKDAY(EOMONTH(O$3,0)+1,-3),WORKDAY(EOMONTH(O$4,0)+1,-3)&gt;=MAX(O$3,$E19),WORKDAY(EOMONTH(O$4,0)+1,-3)&lt;=IF($F19="",O$4,MIN(O$4,$F19)))*1),IF(AND(IF(EDATE($E19,MAX(0,ROUNDUP(((YEAR(O$3)-YEAR($E19))*12+MONTH(O$3)-MONTH($E19))/$G19,0)*$G19))&lt;O$3,EDATE($E19,MAX(0,ROUNDUP(((YEAR(O$3)-YEAR($E19))*12+MONTH(O$3)-MONTH($E19))/$G19,0)*$G19)+$G19),EDATE($E19,MAX(0,ROUNDUP(((YEAR(O$3)-YEAR($E19))*12+MONTH(O$3)-MONTH($E19))/$G19,0)*$G19)))&gt;=O$3,IF(EDATE($E19,MAX(0,ROUNDUP(((YEAR(O$3)-YEAR($E19))*12+MONTH(O$3)-MONTH($E19))/$G19,0)*$G19))&lt;O$3,EDATE($E19,MAX(0,ROUNDUP(((YEAR(O$3)-YEAR($E19))*12+MONTH(O$3)-MONTH($E19))/$G19,0)*$G19)+$G19),EDATE($E19,MAX(0,ROUNDUP(((YEAR(O$3)-YEAR($E19))*12+MONTH(O$3)-MONTH($E19))/$G19,0)*$G19)))&lt;=IF($F19="",O$4,MIN(O$4,$F19))),1,0)))))</f>
        <v>0</v>
      </c>
      <c r="P19" s="25" t="n">
        <f aca="false">IF(OR($C19="",$C19=0,$E19="",$B19="",$G19=-2),0,$C19*IF($G19=0,IF(IF($F19="",P$4,MIN(P$4,$F19))&lt;$E19,0,MAX(0,INT((IF($F19="",P$4,MIN(P$4,$F19))-$E19)/7)+1-MAX(0,ROUNDUP((P$3-$E19)/7,0)))),IF($G19=101,(AND(EOMONTH(P$3,0)&gt;=MAX(P$3,$E19),EOMONTH(P$3,0)&lt;=IF($F19="",P$4,MIN(P$4,$F19)))*1+AND(EOMONTH(P$4,0)&lt;&gt;EOMONTH(P$3,0),EOMONTH(P$4,0)&gt;=MAX(P$3,$E19),EOMONTH(P$4,0)&lt;=IF($F19="",P$4,MIN(P$4,$F19)))*1),IF($G19=102,(AND(WORKDAY(EOMONTH(P$3,0)+1,-3)&gt;=MAX(P$3,$E19),WORKDAY(EOMONTH(P$3,0)+1,-3)&lt;=IF($F19="",P$4,MIN(P$4,$F19)))*1+AND(WORKDAY(EOMONTH(P$4,0)+1,-3)&lt;&gt;WORKDAY(EOMONTH(P$3,0)+1,-3),WORKDAY(EOMONTH(P$4,0)+1,-3)&gt;=MAX(P$3,$E19),WORKDAY(EOMONTH(P$4,0)+1,-3)&lt;=IF($F19="",P$4,MIN(P$4,$F19)))*1),IF(AND(IF(EDATE($E19,MAX(0,ROUNDUP(((YEAR(P$3)-YEAR($E19))*12+MONTH(P$3)-MONTH($E19))/$G19,0)*$G19))&lt;P$3,EDATE($E19,MAX(0,ROUNDUP(((YEAR(P$3)-YEAR($E19))*12+MONTH(P$3)-MONTH($E19))/$G19,0)*$G19)+$G19),EDATE($E19,MAX(0,ROUNDUP(((YEAR(P$3)-YEAR($E19))*12+MONTH(P$3)-MONTH($E19))/$G19,0)*$G19)))&gt;=P$3,IF(EDATE($E19,MAX(0,ROUNDUP(((YEAR(P$3)-YEAR($E19))*12+MONTH(P$3)-MONTH($E19))/$G19,0)*$G19))&lt;P$3,EDATE($E19,MAX(0,ROUNDUP(((YEAR(P$3)-YEAR($E19))*12+MONTH(P$3)-MONTH($E19))/$G19,0)*$G19)+$G19),EDATE($E19,MAX(0,ROUNDUP(((YEAR(P$3)-YEAR($E19))*12+MONTH(P$3)-MONTH($E19))/$G19,0)*$G19)))&lt;=IF($F19="",P$4,MIN(P$4,$F19))),1,0)))))</f>
        <v>0</v>
      </c>
      <c r="Q19" s="25" t="n">
        <f aca="false">IF(OR($C19="",$C19=0,$E19="",$B19="",$G19=-2),0,$C19*IF($G19=0,IF(IF($F19="",Q$4,MIN(Q$4,$F19))&lt;$E19,0,MAX(0,INT((IF($F19="",Q$4,MIN(Q$4,$F19))-$E19)/7)+1-MAX(0,ROUNDUP((Q$3-$E19)/7,0)))),IF($G19=101,(AND(EOMONTH(Q$3,0)&gt;=MAX(Q$3,$E19),EOMONTH(Q$3,0)&lt;=IF($F19="",Q$4,MIN(Q$4,$F19)))*1+AND(EOMONTH(Q$4,0)&lt;&gt;EOMONTH(Q$3,0),EOMONTH(Q$4,0)&gt;=MAX(Q$3,$E19),EOMONTH(Q$4,0)&lt;=IF($F19="",Q$4,MIN(Q$4,$F19)))*1),IF($G19=102,(AND(WORKDAY(EOMONTH(Q$3,0)+1,-3)&gt;=MAX(Q$3,$E19),WORKDAY(EOMONTH(Q$3,0)+1,-3)&lt;=IF($F19="",Q$4,MIN(Q$4,$F19)))*1+AND(WORKDAY(EOMONTH(Q$4,0)+1,-3)&lt;&gt;WORKDAY(EOMONTH(Q$3,0)+1,-3),WORKDAY(EOMONTH(Q$4,0)+1,-3)&gt;=MAX(Q$3,$E19),WORKDAY(EOMONTH(Q$4,0)+1,-3)&lt;=IF($F19="",Q$4,MIN(Q$4,$F19)))*1),IF(AND(IF(EDATE($E19,MAX(0,ROUNDUP(((YEAR(Q$3)-YEAR($E19))*12+MONTH(Q$3)-MONTH($E19))/$G19,0)*$G19))&lt;Q$3,EDATE($E19,MAX(0,ROUNDUP(((YEAR(Q$3)-YEAR($E19))*12+MONTH(Q$3)-MONTH($E19))/$G19,0)*$G19)+$G19),EDATE($E19,MAX(0,ROUNDUP(((YEAR(Q$3)-YEAR($E19))*12+MONTH(Q$3)-MONTH($E19))/$G19,0)*$G19)))&gt;=Q$3,IF(EDATE($E19,MAX(0,ROUNDUP(((YEAR(Q$3)-YEAR($E19))*12+MONTH(Q$3)-MONTH($E19))/$G19,0)*$G19))&lt;Q$3,EDATE($E19,MAX(0,ROUNDUP(((YEAR(Q$3)-YEAR($E19))*12+MONTH(Q$3)-MONTH($E19))/$G19,0)*$G19)+$G19),EDATE($E19,MAX(0,ROUNDUP(((YEAR(Q$3)-YEAR($E19))*12+MONTH(Q$3)-MONTH($E19))/$G19,0)*$G19)))&lt;=IF($F19="",Q$4,MIN(Q$4,$F19))),1,0)))))</f>
        <v>0</v>
      </c>
      <c r="R19" s="25" t="n">
        <f aca="false">IF(OR($C19="",$C19=0,$E19="",$B19="",$G19=-2),0,$C19*IF($G19=0,IF(IF($F19="",R$4,MIN(R$4,$F19))&lt;$E19,0,MAX(0,INT((IF($F19="",R$4,MIN(R$4,$F19))-$E19)/7)+1-MAX(0,ROUNDUP((R$3-$E19)/7,0)))),IF($G19=101,(AND(EOMONTH(R$3,0)&gt;=MAX(R$3,$E19),EOMONTH(R$3,0)&lt;=IF($F19="",R$4,MIN(R$4,$F19)))*1+AND(EOMONTH(R$4,0)&lt;&gt;EOMONTH(R$3,0),EOMONTH(R$4,0)&gt;=MAX(R$3,$E19),EOMONTH(R$4,0)&lt;=IF($F19="",R$4,MIN(R$4,$F19)))*1),IF($G19=102,(AND(WORKDAY(EOMONTH(R$3,0)+1,-3)&gt;=MAX(R$3,$E19),WORKDAY(EOMONTH(R$3,0)+1,-3)&lt;=IF($F19="",R$4,MIN(R$4,$F19)))*1+AND(WORKDAY(EOMONTH(R$4,0)+1,-3)&lt;&gt;WORKDAY(EOMONTH(R$3,0)+1,-3),WORKDAY(EOMONTH(R$4,0)+1,-3)&gt;=MAX(R$3,$E19),WORKDAY(EOMONTH(R$4,0)+1,-3)&lt;=IF($F19="",R$4,MIN(R$4,$F19)))*1),IF(AND(IF(EDATE($E19,MAX(0,ROUNDUP(((YEAR(R$3)-YEAR($E19))*12+MONTH(R$3)-MONTH($E19))/$G19,0)*$G19))&lt;R$3,EDATE($E19,MAX(0,ROUNDUP(((YEAR(R$3)-YEAR($E19))*12+MONTH(R$3)-MONTH($E19))/$G19,0)*$G19)+$G19),EDATE($E19,MAX(0,ROUNDUP(((YEAR(R$3)-YEAR($E19))*12+MONTH(R$3)-MONTH($E19))/$G19,0)*$G19)))&gt;=R$3,IF(EDATE($E19,MAX(0,ROUNDUP(((YEAR(R$3)-YEAR($E19))*12+MONTH(R$3)-MONTH($E19))/$G19,0)*$G19))&lt;R$3,EDATE($E19,MAX(0,ROUNDUP(((YEAR(R$3)-YEAR($E19))*12+MONTH(R$3)-MONTH($E19))/$G19,0)*$G19)+$G19),EDATE($E19,MAX(0,ROUNDUP(((YEAR(R$3)-YEAR($E19))*12+MONTH(R$3)-MONTH($E19))/$G19,0)*$G19)))&lt;=IF($F19="",R$4,MIN(R$4,$F19))),1,0)))))</f>
        <v>0</v>
      </c>
      <c r="S19" s="25" t="n">
        <f aca="false">IF(OR($C19="",$C19=0,$E19="",$B19="",$G19=-2),0,$C19*IF($G19=0,IF(IF($F19="",S$4,MIN(S$4,$F19))&lt;$E19,0,MAX(0,INT((IF($F19="",S$4,MIN(S$4,$F19))-$E19)/7)+1-MAX(0,ROUNDUP((S$3-$E19)/7,0)))),IF($G19=101,(AND(EOMONTH(S$3,0)&gt;=MAX(S$3,$E19),EOMONTH(S$3,0)&lt;=IF($F19="",S$4,MIN(S$4,$F19)))*1+AND(EOMONTH(S$4,0)&lt;&gt;EOMONTH(S$3,0),EOMONTH(S$4,0)&gt;=MAX(S$3,$E19),EOMONTH(S$4,0)&lt;=IF($F19="",S$4,MIN(S$4,$F19)))*1),IF($G19=102,(AND(WORKDAY(EOMONTH(S$3,0)+1,-3)&gt;=MAX(S$3,$E19),WORKDAY(EOMONTH(S$3,0)+1,-3)&lt;=IF($F19="",S$4,MIN(S$4,$F19)))*1+AND(WORKDAY(EOMONTH(S$4,0)+1,-3)&lt;&gt;WORKDAY(EOMONTH(S$3,0)+1,-3),WORKDAY(EOMONTH(S$4,0)+1,-3)&gt;=MAX(S$3,$E19),WORKDAY(EOMONTH(S$4,0)+1,-3)&lt;=IF($F19="",S$4,MIN(S$4,$F19)))*1),IF(AND(IF(EDATE($E19,MAX(0,ROUNDUP(((YEAR(S$3)-YEAR($E19))*12+MONTH(S$3)-MONTH($E19))/$G19,0)*$G19))&lt;S$3,EDATE($E19,MAX(0,ROUNDUP(((YEAR(S$3)-YEAR($E19))*12+MONTH(S$3)-MONTH($E19))/$G19,0)*$G19)+$G19),EDATE($E19,MAX(0,ROUNDUP(((YEAR(S$3)-YEAR($E19))*12+MONTH(S$3)-MONTH($E19))/$G19,0)*$G19)))&gt;=S$3,IF(EDATE($E19,MAX(0,ROUNDUP(((YEAR(S$3)-YEAR($E19))*12+MONTH(S$3)-MONTH($E19))/$G19,0)*$G19))&lt;S$3,EDATE($E19,MAX(0,ROUNDUP(((YEAR(S$3)-YEAR($E19))*12+MONTH(S$3)-MONTH($E19))/$G19,0)*$G19)+$G19),EDATE($E19,MAX(0,ROUNDUP(((YEAR(S$3)-YEAR($E19))*12+MONTH(S$3)-MONTH($E19))/$G19,0)*$G19)))&lt;=IF($F19="",S$4,MIN(S$4,$F19))),1,0)))))</f>
        <v>0</v>
      </c>
      <c r="T19" s="25" t="n">
        <f aca="false">IF(OR($C19="",$C19=0,$E19="",$B19="",$G19=-2),0,$C19*IF($G19=0,IF(IF($F19="",T$4,MIN(T$4,$F19))&lt;$E19,0,MAX(0,INT((IF($F19="",T$4,MIN(T$4,$F19))-$E19)/7)+1-MAX(0,ROUNDUP((T$3-$E19)/7,0)))),IF($G19=101,(AND(EOMONTH(T$3,0)&gt;=MAX(T$3,$E19),EOMONTH(T$3,0)&lt;=IF($F19="",T$4,MIN(T$4,$F19)))*1+AND(EOMONTH(T$4,0)&lt;&gt;EOMONTH(T$3,0),EOMONTH(T$4,0)&gt;=MAX(T$3,$E19),EOMONTH(T$4,0)&lt;=IF($F19="",T$4,MIN(T$4,$F19)))*1),IF($G19=102,(AND(WORKDAY(EOMONTH(T$3,0)+1,-3)&gt;=MAX(T$3,$E19),WORKDAY(EOMONTH(T$3,0)+1,-3)&lt;=IF($F19="",T$4,MIN(T$4,$F19)))*1+AND(WORKDAY(EOMONTH(T$4,0)+1,-3)&lt;&gt;WORKDAY(EOMONTH(T$3,0)+1,-3),WORKDAY(EOMONTH(T$4,0)+1,-3)&gt;=MAX(T$3,$E19),WORKDAY(EOMONTH(T$4,0)+1,-3)&lt;=IF($F19="",T$4,MIN(T$4,$F19)))*1),IF(AND(IF(EDATE($E19,MAX(0,ROUNDUP(((YEAR(T$3)-YEAR($E19))*12+MONTH(T$3)-MONTH($E19))/$G19,0)*$G19))&lt;T$3,EDATE($E19,MAX(0,ROUNDUP(((YEAR(T$3)-YEAR($E19))*12+MONTH(T$3)-MONTH($E19))/$G19,0)*$G19)+$G19),EDATE($E19,MAX(0,ROUNDUP(((YEAR(T$3)-YEAR($E19))*12+MONTH(T$3)-MONTH($E19))/$G19,0)*$G19)))&gt;=T$3,IF(EDATE($E19,MAX(0,ROUNDUP(((YEAR(T$3)-YEAR($E19))*12+MONTH(T$3)-MONTH($E19))/$G19,0)*$G19))&lt;T$3,EDATE($E19,MAX(0,ROUNDUP(((YEAR(T$3)-YEAR($E19))*12+MONTH(T$3)-MONTH($E19))/$G19,0)*$G19)+$G19),EDATE($E19,MAX(0,ROUNDUP(((YEAR(T$3)-YEAR($E19))*12+MONTH(T$3)-MONTH($E19))/$G19,0)*$G19)))&lt;=IF($F19="",T$4,MIN(T$4,$F19))),1,0)))))</f>
        <v>0</v>
      </c>
      <c r="U19" s="25" t="n">
        <f aca="false">IF(OR($C19="",$C19=0,$E19="",$B19="",$G19=-2),0,$C19*IF($G19=0,IF(IF($F19="",U$4,MIN(U$4,$F19))&lt;$E19,0,MAX(0,INT((IF($F19="",U$4,MIN(U$4,$F19))-$E19)/7)+1-MAX(0,ROUNDUP((U$3-$E19)/7,0)))),IF($G19=101,(AND(EOMONTH(U$3,0)&gt;=MAX(U$3,$E19),EOMONTH(U$3,0)&lt;=IF($F19="",U$4,MIN(U$4,$F19)))*1+AND(EOMONTH(U$4,0)&lt;&gt;EOMONTH(U$3,0),EOMONTH(U$4,0)&gt;=MAX(U$3,$E19),EOMONTH(U$4,0)&lt;=IF($F19="",U$4,MIN(U$4,$F19)))*1),IF($G19=102,(AND(WORKDAY(EOMONTH(U$3,0)+1,-3)&gt;=MAX(U$3,$E19),WORKDAY(EOMONTH(U$3,0)+1,-3)&lt;=IF($F19="",U$4,MIN(U$4,$F19)))*1+AND(WORKDAY(EOMONTH(U$4,0)+1,-3)&lt;&gt;WORKDAY(EOMONTH(U$3,0)+1,-3),WORKDAY(EOMONTH(U$4,0)+1,-3)&gt;=MAX(U$3,$E19),WORKDAY(EOMONTH(U$4,0)+1,-3)&lt;=IF($F19="",U$4,MIN(U$4,$F19)))*1),IF(AND(IF(EDATE($E19,MAX(0,ROUNDUP(((YEAR(U$3)-YEAR($E19))*12+MONTH(U$3)-MONTH($E19))/$G19,0)*$G19))&lt;U$3,EDATE($E19,MAX(0,ROUNDUP(((YEAR(U$3)-YEAR($E19))*12+MONTH(U$3)-MONTH($E19))/$G19,0)*$G19)+$G19),EDATE($E19,MAX(0,ROUNDUP(((YEAR(U$3)-YEAR($E19))*12+MONTH(U$3)-MONTH($E19))/$G19,0)*$G19)))&gt;=U$3,IF(EDATE($E19,MAX(0,ROUNDUP(((YEAR(U$3)-YEAR($E19))*12+MONTH(U$3)-MONTH($E19))/$G19,0)*$G19))&lt;U$3,EDATE($E19,MAX(0,ROUNDUP(((YEAR(U$3)-YEAR($E19))*12+MONTH(U$3)-MONTH($E19))/$G19,0)*$G19)+$G19),EDATE($E19,MAX(0,ROUNDUP(((YEAR(U$3)-YEAR($E19))*12+MONTH(U$3)-MONTH($E19))/$G19,0)*$G19)))&lt;=IF($F19="",U$4,MIN(U$4,$F19))),1,0)))))</f>
        <v>0</v>
      </c>
      <c r="V19" s="25" t="n">
        <f aca="false">IF(OR($C19="",$C19=0,$E19="",$B19="",$G19=-2),0,$C19*IF($G19=0,IF(IF($F19="",V$4,MIN(V$4,$F19))&lt;$E19,0,MAX(0,INT((IF($F19="",V$4,MIN(V$4,$F19))-$E19)/7)+1-MAX(0,ROUNDUP((V$3-$E19)/7,0)))),IF($G19=101,(AND(EOMONTH(V$3,0)&gt;=MAX(V$3,$E19),EOMONTH(V$3,0)&lt;=IF($F19="",V$4,MIN(V$4,$F19)))*1+AND(EOMONTH(V$4,0)&lt;&gt;EOMONTH(V$3,0),EOMONTH(V$4,0)&gt;=MAX(V$3,$E19),EOMONTH(V$4,0)&lt;=IF($F19="",V$4,MIN(V$4,$F19)))*1),IF($G19=102,(AND(WORKDAY(EOMONTH(V$3,0)+1,-3)&gt;=MAX(V$3,$E19),WORKDAY(EOMONTH(V$3,0)+1,-3)&lt;=IF($F19="",V$4,MIN(V$4,$F19)))*1+AND(WORKDAY(EOMONTH(V$4,0)+1,-3)&lt;&gt;WORKDAY(EOMONTH(V$3,0)+1,-3),WORKDAY(EOMONTH(V$4,0)+1,-3)&gt;=MAX(V$3,$E19),WORKDAY(EOMONTH(V$4,0)+1,-3)&lt;=IF($F19="",V$4,MIN(V$4,$F19)))*1),IF(AND(IF(EDATE($E19,MAX(0,ROUNDUP(((YEAR(V$3)-YEAR($E19))*12+MONTH(V$3)-MONTH($E19))/$G19,0)*$G19))&lt;V$3,EDATE($E19,MAX(0,ROUNDUP(((YEAR(V$3)-YEAR($E19))*12+MONTH(V$3)-MONTH($E19))/$G19,0)*$G19)+$G19),EDATE($E19,MAX(0,ROUNDUP(((YEAR(V$3)-YEAR($E19))*12+MONTH(V$3)-MONTH($E19))/$G19,0)*$G19)))&gt;=V$3,IF(EDATE($E19,MAX(0,ROUNDUP(((YEAR(V$3)-YEAR($E19))*12+MONTH(V$3)-MONTH($E19))/$G19,0)*$G19))&lt;V$3,EDATE($E19,MAX(0,ROUNDUP(((YEAR(V$3)-YEAR($E19))*12+MONTH(V$3)-MONTH($E19))/$G19,0)*$G19)+$G19),EDATE($E19,MAX(0,ROUNDUP(((YEAR(V$3)-YEAR($E19))*12+MONTH(V$3)-MONTH($E19))/$G19,0)*$G19)))&lt;=IF($F19="",V$4,MIN(V$4,$F19))),1,0)))))</f>
        <v>0</v>
      </c>
      <c r="W19" s="25" t="n">
        <f aca="false">IF(OR($C19="",$C19=0,$E19="",$B19="",$G19=-2),0,$C19*IF($G19=0,IF(IF($F19="",W$4,MIN(W$4,$F19))&lt;$E19,0,MAX(0,INT((IF($F19="",W$4,MIN(W$4,$F19))-$E19)/7)+1-MAX(0,ROUNDUP((W$3-$E19)/7,0)))),IF($G19=101,(AND(EOMONTH(W$3,0)&gt;=MAX(W$3,$E19),EOMONTH(W$3,0)&lt;=IF($F19="",W$4,MIN(W$4,$F19)))*1+AND(EOMONTH(W$4,0)&lt;&gt;EOMONTH(W$3,0),EOMONTH(W$4,0)&gt;=MAX(W$3,$E19),EOMONTH(W$4,0)&lt;=IF($F19="",W$4,MIN(W$4,$F19)))*1),IF($G19=102,(AND(WORKDAY(EOMONTH(W$3,0)+1,-3)&gt;=MAX(W$3,$E19),WORKDAY(EOMONTH(W$3,0)+1,-3)&lt;=IF($F19="",W$4,MIN(W$4,$F19)))*1+AND(WORKDAY(EOMONTH(W$4,0)+1,-3)&lt;&gt;WORKDAY(EOMONTH(W$3,0)+1,-3),WORKDAY(EOMONTH(W$4,0)+1,-3)&gt;=MAX(W$3,$E19),WORKDAY(EOMONTH(W$4,0)+1,-3)&lt;=IF($F19="",W$4,MIN(W$4,$F19)))*1),IF(AND(IF(EDATE($E19,MAX(0,ROUNDUP(((YEAR(W$3)-YEAR($E19))*12+MONTH(W$3)-MONTH($E19))/$G19,0)*$G19))&lt;W$3,EDATE($E19,MAX(0,ROUNDUP(((YEAR(W$3)-YEAR($E19))*12+MONTH(W$3)-MONTH($E19))/$G19,0)*$G19)+$G19),EDATE($E19,MAX(0,ROUNDUP(((YEAR(W$3)-YEAR($E19))*12+MONTH(W$3)-MONTH($E19))/$G19,0)*$G19)))&gt;=W$3,IF(EDATE($E19,MAX(0,ROUNDUP(((YEAR(W$3)-YEAR($E19))*12+MONTH(W$3)-MONTH($E19))/$G19,0)*$G19))&lt;W$3,EDATE($E19,MAX(0,ROUNDUP(((YEAR(W$3)-YEAR($E19))*12+MONTH(W$3)-MONTH($E19))/$G19,0)*$G19)+$G19),EDATE($E19,MAX(0,ROUNDUP(((YEAR(W$3)-YEAR($E19))*12+MONTH(W$3)-MONTH($E19))/$G19,0)*$G19)))&lt;=IF($F19="",W$4,MIN(W$4,$F19))),1,0)))))</f>
        <v>0</v>
      </c>
      <c r="X19" s="25" t="n">
        <f aca="false">IF(OR($C19="",$C19=0,$E19="",$B19="",$G19=-2),0,$C19*IF($G19=0,IF(IF($F19="",X$4,MIN(X$4,$F19))&lt;$E19,0,MAX(0,INT((IF($F19="",X$4,MIN(X$4,$F19))-$E19)/7)+1-MAX(0,ROUNDUP((X$3-$E19)/7,0)))),IF($G19=101,(AND(EOMONTH(X$3,0)&gt;=MAX(X$3,$E19),EOMONTH(X$3,0)&lt;=IF($F19="",X$4,MIN(X$4,$F19)))*1+AND(EOMONTH(X$4,0)&lt;&gt;EOMONTH(X$3,0),EOMONTH(X$4,0)&gt;=MAX(X$3,$E19),EOMONTH(X$4,0)&lt;=IF($F19="",X$4,MIN(X$4,$F19)))*1),IF($G19=102,(AND(WORKDAY(EOMONTH(X$3,0)+1,-3)&gt;=MAX(X$3,$E19),WORKDAY(EOMONTH(X$3,0)+1,-3)&lt;=IF($F19="",X$4,MIN(X$4,$F19)))*1+AND(WORKDAY(EOMONTH(X$4,0)+1,-3)&lt;&gt;WORKDAY(EOMONTH(X$3,0)+1,-3),WORKDAY(EOMONTH(X$4,0)+1,-3)&gt;=MAX(X$3,$E19),WORKDAY(EOMONTH(X$4,0)+1,-3)&lt;=IF($F19="",X$4,MIN(X$4,$F19)))*1),IF(AND(IF(EDATE($E19,MAX(0,ROUNDUP(((YEAR(X$3)-YEAR($E19))*12+MONTH(X$3)-MONTH($E19))/$G19,0)*$G19))&lt;X$3,EDATE($E19,MAX(0,ROUNDUP(((YEAR(X$3)-YEAR($E19))*12+MONTH(X$3)-MONTH($E19))/$G19,0)*$G19)+$G19),EDATE($E19,MAX(0,ROUNDUP(((YEAR(X$3)-YEAR($E19))*12+MONTH(X$3)-MONTH($E19))/$G19,0)*$G19)))&gt;=X$3,IF(EDATE($E19,MAX(0,ROUNDUP(((YEAR(X$3)-YEAR($E19))*12+MONTH(X$3)-MONTH($E19))/$G19,0)*$G19))&lt;X$3,EDATE($E19,MAX(0,ROUNDUP(((YEAR(X$3)-YEAR($E19))*12+MONTH(X$3)-MONTH($E19))/$G19,0)*$G19)+$G19),EDATE($E19,MAX(0,ROUNDUP(((YEAR(X$3)-YEAR($E19))*12+MONTH(X$3)-MONTH($E19))/$G19,0)*$G19)))&lt;=IF($F19="",X$4,MIN(X$4,$F19))),1,0)))))</f>
        <v>0</v>
      </c>
      <c r="Y19" s="25" t="n">
        <f aca="false">IF(OR($C19="",$C19=0,$E19="",$B19="",$G19=-2),0,$C19*IF($G19=0,IF(IF($F19="",Y$4,MIN(Y$4,$F19))&lt;$E19,0,MAX(0,INT((IF($F19="",Y$4,MIN(Y$4,$F19))-$E19)/7)+1-MAX(0,ROUNDUP((Y$3-$E19)/7,0)))),IF($G19=101,(AND(EOMONTH(Y$3,0)&gt;=MAX(Y$3,$E19),EOMONTH(Y$3,0)&lt;=IF($F19="",Y$4,MIN(Y$4,$F19)))*1+AND(EOMONTH(Y$4,0)&lt;&gt;EOMONTH(Y$3,0),EOMONTH(Y$4,0)&gt;=MAX(Y$3,$E19),EOMONTH(Y$4,0)&lt;=IF($F19="",Y$4,MIN(Y$4,$F19)))*1),IF($G19=102,(AND(WORKDAY(EOMONTH(Y$3,0)+1,-3)&gt;=MAX(Y$3,$E19),WORKDAY(EOMONTH(Y$3,0)+1,-3)&lt;=IF($F19="",Y$4,MIN(Y$4,$F19)))*1+AND(WORKDAY(EOMONTH(Y$4,0)+1,-3)&lt;&gt;WORKDAY(EOMONTH(Y$3,0)+1,-3),WORKDAY(EOMONTH(Y$4,0)+1,-3)&gt;=MAX(Y$3,$E19),WORKDAY(EOMONTH(Y$4,0)+1,-3)&lt;=IF($F19="",Y$4,MIN(Y$4,$F19)))*1),IF(AND(IF(EDATE($E19,MAX(0,ROUNDUP(((YEAR(Y$3)-YEAR($E19))*12+MONTH(Y$3)-MONTH($E19))/$G19,0)*$G19))&lt;Y$3,EDATE($E19,MAX(0,ROUNDUP(((YEAR(Y$3)-YEAR($E19))*12+MONTH(Y$3)-MONTH($E19))/$G19,0)*$G19)+$G19),EDATE($E19,MAX(0,ROUNDUP(((YEAR(Y$3)-YEAR($E19))*12+MONTH(Y$3)-MONTH($E19))/$G19,0)*$G19)))&gt;=Y$3,IF(EDATE($E19,MAX(0,ROUNDUP(((YEAR(Y$3)-YEAR($E19))*12+MONTH(Y$3)-MONTH($E19))/$G19,0)*$G19))&lt;Y$3,EDATE($E19,MAX(0,ROUNDUP(((YEAR(Y$3)-YEAR($E19))*12+MONTH(Y$3)-MONTH($E19))/$G19,0)*$G19)+$G19),EDATE($E19,MAX(0,ROUNDUP(((YEAR(Y$3)-YEAR($E19))*12+MONTH(Y$3)-MONTH($E19))/$G19,0)*$G19)))&lt;=IF($F19="",Y$4,MIN(Y$4,$F19))),1,0)))))</f>
        <v>0</v>
      </c>
      <c r="Z19" s="25" t="n">
        <f aca="false">IF(OR($C19="",$C19=0,$E19="",$B19="",$G19=-2),0,$C19*IF($G19=0,IF(IF($F19="",Z$4,MIN(Z$4,$F19))&lt;$E19,0,MAX(0,INT((IF($F19="",Z$4,MIN(Z$4,$F19))-$E19)/7)+1-MAX(0,ROUNDUP((Z$3-$E19)/7,0)))),IF($G19=101,(AND(EOMONTH(Z$3,0)&gt;=MAX(Z$3,$E19),EOMONTH(Z$3,0)&lt;=IF($F19="",Z$4,MIN(Z$4,$F19)))*1+AND(EOMONTH(Z$4,0)&lt;&gt;EOMONTH(Z$3,0),EOMONTH(Z$4,0)&gt;=MAX(Z$3,$E19),EOMONTH(Z$4,0)&lt;=IF($F19="",Z$4,MIN(Z$4,$F19)))*1),IF($G19=102,(AND(WORKDAY(EOMONTH(Z$3,0)+1,-3)&gt;=MAX(Z$3,$E19),WORKDAY(EOMONTH(Z$3,0)+1,-3)&lt;=IF($F19="",Z$4,MIN(Z$4,$F19)))*1+AND(WORKDAY(EOMONTH(Z$4,0)+1,-3)&lt;&gt;WORKDAY(EOMONTH(Z$3,0)+1,-3),WORKDAY(EOMONTH(Z$4,0)+1,-3)&gt;=MAX(Z$3,$E19),WORKDAY(EOMONTH(Z$4,0)+1,-3)&lt;=IF($F19="",Z$4,MIN(Z$4,$F19)))*1),IF(AND(IF(EDATE($E19,MAX(0,ROUNDUP(((YEAR(Z$3)-YEAR($E19))*12+MONTH(Z$3)-MONTH($E19))/$G19,0)*$G19))&lt;Z$3,EDATE($E19,MAX(0,ROUNDUP(((YEAR(Z$3)-YEAR($E19))*12+MONTH(Z$3)-MONTH($E19))/$G19,0)*$G19)+$G19),EDATE($E19,MAX(0,ROUNDUP(((YEAR(Z$3)-YEAR($E19))*12+MONTH(Z$3)-MONTH($E19))/$G19,0)*$G19)))&gt;=Z$3,IF(EDATE($E19,MAX(0,ROUNDUP(((YEAR(Z$3)-YEAR($E19))*12+MONTH(Z$3)-MONTH($E19))/$G19,0)*$G19))&lt;Z$3,EDATE($E19,MAX(0,ROUNDUP(((YEAR(Z$3)-YEAR($E19))*12+MONTH(Z$3)-MONTH($E19))/$G19,0)*$G19)+$G19),EDATE($E19,MAX(0,ROUNDUP(((YEAR(Z$3)-YEAR($E19))*12+MONTH(Z$3)-MONTH($E19))/$G19,0)*$G19)))&lt;=IF($F19="",Z$4,MIN(Z$4,$F19))),1,0)))))</f>
        <v>0</v>
      </c>
      <c r="AA19" s="25" t="n">
        <f aca="false">IF(OR($C19="",$C19=0,$E19="",$B19="",$G19=-2),0,$C19*IF($G19=0,IF(IF($F19="",AA$4,MIN(AA$4,$F19))&lt;$E19,0,MAX(0,INT((IF($F19="",AA$4,MIN(AA$4,$F19))-$E19)/7)+1-MAX(0,ROUNDUP((AA$3-$E19)/7,0)))),IF($G19=101,(AND(EOMONTH(AA$3,0)&gt;=MAX(AA$3,$E19),EOMONTH(AA$3,0)&lt;=IF($F19="",AA$4,MIN(AA$4,$F19)))*1+AND(EOMONTH(AA$4,0)&lt;&gt;EOMONTH(AA$3,0),EOMONTH(AA$4,0)&gt;=MAX(AA$3,$E19),EOMONTH(AA$4,0)&lt;=IF($F19="",AA$4,MIN(AA$4,$F19)))*1),IF($G19=102,(AND(WORKDAY(EOMONTH(AA$3,0)+1,-3)&gt;=MAX(AA$3,$E19),WORKDAY(EOMONTH(AA$3,0)+1,-3)&lt;=IF($F19="",AA$4,MIN(AA$4,$F19)))*1+AND(WORKDAY(EOMONTH(AA$4,0)+1,-3)&lt;&gt;WORKDAY(EOMONTH(AA$3,0)+1,-3),WORKDAY(EOMONTH(AA$4,0)+1,-3)&gt;=MAX(AA$3,$E19),WORKDAY(EOMONTH(AA$4,0)+1,-3)&lt;=IF($F19="",AA$4,MIN(AA$4,$F19)))*1),IF(AND(IF(EDATE($E19,MAX(0,ROUNDUP(((YEAR(AA$3)-YEAR($E19))*12+MONTH(AA$3)-MONTH($E19))/$G19,0)*$G19))&lt;AA$3,EDATE($E19,MAX(0,ROUNDUP(((YEAR(AA$3)-YEAR($E19))*12+MONTH(AA$3)-MONTH($E19))/$G19,0)*$G19)+$G19),EDATE($E19,MAX(0,ROUNDUP(((YEAR(AA$3)-YEAR($E19))*12+MONTH(AA$3)-MONTH($E19))/$G19,0)*$G19)))&gt;=AA$3,IF(EDATE($E19,MAX(0,ROUNDUP(((YEAR(AA$3)-YEAR($E19))*12+MONTH(AA$3)-MONTH($E19))/$G19,0)*$G19))&lt;AA$3,EDATE($E19,MAX(0,ROUNDUP(((YEAR(AA$3)-YEAR($E19))*12+MONTH(AA$3)-MONTH($E19))/$G19,0)*$G19)+$G19),EDATE($E19,MAX(0,ROUNDUP(((YEAR(AA$3)-YEAR($E19))*12+MONTH(AA$3)-MONTH($E19))/$G19,0)*$G19)))&lt;=IF($F19="",AA$4,MIN(AA$4,$F19))),1,0)))))</f>
        <v>0</v>
      </c>
      <c r="AB19" s="25" t="n">
        <f aca="false">IF(OR($C19="",$C19=0,$E19="",$B19="",$G19=-2),0,$C19*IF($G19=0,IF(IF($F19="",AB$4,MIN(AB$4,$F19))&lt;$E19,0,MAX(0,INT((IF($F19="",AB$4,MIN(AB$4,$F19))-$E19)/7)+1-MAX(0,ROUNDUP((AB$3-$E19)/7,0)))),IF($G19=101,(AND(EOMONTH(AB$3,0)&gt;=MAX(AB$3,$E19),EOMONTH(AB$3,0)&lt;=IF($F19="",AB$4,MIN(AB$4,$F19)))*1+AND(EOMONTH(AB$4,0)&lt;&gt;EOMONTH(AB$3,0),EOMONTH(AB$4,0)&gt;=MAX(AB$3,$E19),EOMONTH(AB$4,0)&lt;=IF($F19="",AB$4,MIN(AB$4,$F19)))*1),IF($G19=102,(AND(WORKDAY(EOMONTH(AB$3,0)+1,-3)&gt;=MAX(AB$3,$E19),WORKDAY(EOMONTH(AB$3,0)+1,-3)&lt;=IF($F19="",AB$4,MIN(AB$4,$F19)))*1+AND(WORKDAY(EOMONTH(AB$4,0)+1,-3)&lt;&gt;WORKDAY(EOMONTH(AB$3,0)+1,-3),WORKDAY(EOMONTH(AB$4,0)+1,-3)&gt;=MAX(AB$3,$E19),WORKDAY(EOMONTH(AB$4,0)+1,-3)&lt;=IF($F19="",AB$4,MIN(AB$4,$F19)))*1),IF(AND(IF(EDATE($E19,MAX(0,ROUNDUP(((YEAR(AB$3)-YEAR($E19))*12+MONTH(AB$3)-MONTH($E19))/$G19,0)*$G19))&lt;AB$3,EDATE($E19,MAX(0,ROUNDUP(((YEAR(AB$3)-YEAR($E19))*12+MONTH(AB$3)-MONTH($E19))/$G19,0)*$G19)+$G19),EDATE($E19,MAX(0,ROUNDUP(((YEAR(AB$3)-YEAR($E19))*12+MONTH(AB$3)-MONTH($E19))/$G19,0)*$G19)))&gt;=AB$3,IF(EDATE($E19,MAX(0,ROUNDUP(((YEAR(AB$3)-YEAR($E19))*12+MONTH(AB$3)-MONTH($E19))/$G19,0)*$G19))&lt;AB$3,EDATE($E19,MAX(0,ROUNDUP(((YEAR(AB$3)-YEAR($E19))*12+MONTH(AB$3)-MONTH($E19))/$G19,0)*$G19)+$G19),EDATE($E19,MAX(0,ROUNDUP(((YEAR(AB$3)-YEAR($E19))*12+MONTH(AB$3)-MONTH($E19))/$G19,0)*$G19)))&lt;=IF($F19="",AB$4,MIN(AB$4,$F19))),1,0)))))</f>
        <v>0</v>
      </c>
      <c r="AC19" s="25" t="n">
        <f aca="false">IF(OR($C19="",$C19=0,$E19="",$B19="",$G19=-2),0,$C19*IF($G19=0,IF(IF($F19="",AC$4,MIN(AC$4,$F19))&lt;$E19,0,MAX(0,INT((IF($F19="",AC$4,MIN(AC$4,$F19))-$E19)/7)+1-MAX(0,ROUNDUP((AC$3-$E19)/7,0)))),IF($G19=101,(AND(EOMONTH(AC$3,0)&gt;=MAX(AC$3,$E19),EOMONTH(AC$3,0)&lt;=IF($F19="",AC$4,MIN(AC$4,$F19)))*1+AND(EOMONTH(AC$4,0)&lt;&gt;EOMONTH(AC$3,0),EOMONTH(AC$4,0)&gt;=MAX(AC$3,$E19),EOMONTH(AC$4,0)&lt;=IF($F19="",AC$4,MIN(AC$4,$F19)))*1),IF($G19=102,(AND(WORKDAY(EOMONTH(AC$3,0)+1,-3)&gt;=MAX(AC$3,$E19),WORKDAY(EOMONTH(AC$3,0)+1,-3)&lt;=IF($F19="",AC$4,MIN(AC$4,$F19)))*1+AND(WORKDAY(EOMONTH(AC$4,0)+1,-3)&lt;&gt;WORKDAY(EOMONTH(AC$3,0)+1,-3),WORKDAY(EOMONTH(AC$4,0)+1,-3)&gt;=MAX(AC$3,$E19),WORKDAY(EOMONTH(AC$4,0)+1,-3)&lt;=IF($F19="",AC$4,MIN(AC$4,$F19)))*1),IF(AND(IF(EDATE($E19,MAX(0,ROUNDUP(((YEAR(AC$3)-YEAR($E19))*12+MONTH(AC$3)-MONTH($E19))/$G19,0)*$G19))&lt;AC$3,EDATE($E19,MAX(0,ROUNDUP(((YEAR(AC$3)-YEAR($E19))*12+MONTH(AC$3)-MONTH($E19))/$G19,0)*$G19)+$G19),EDATE($E19,MAX(0,ROUNDUP(((YEAR(AC$3)-YEAR($E19))*12+MONTH(AC$3)-MONTH($E19))/$G19,0)*$G19)))&gt;=AC$3,IF(EDATE($E19,MAX(0,ROUNDUP(((YEAR(AC$3)-YEAR($E19))*12+MONTH(AC$3)-MONTH($E19))/$G19,0)*$G19))&lt;AC$3,EDATE($E19,MAX(0,ROUNDUP(((YEAR(AC$3)-YEAR($E19))*12+MONTH(AC$3)-MONTH($E19))/$G19,0)*$G19)+$G19),EDATE($E19,MAX(0,ROUNDUP(((YEAR(AC$3)-YEAR($E19))*12+MONTH(AC$3)-MONTH($E19))/$G19,0)*$G19)))&lt;=IF($F19="",AC$4,MIN(AC$4,$F19))),1,0)))))</f>
        <v>0</v>
      </c>
      <c r="AD19" s="25" t="n">
        <f aca="false">IF(OR($C19="",$C19=0,$E19="",$B19="",$G19=-2),0,$C19*IF($G19=0,IF(IF($F19="",AD$4,MIN(AD$4,$F19))&lt;$E19,0,MAX(0,INT((IF($F19="",AD$4,MIN(AD$4,$F19))-$E19)/7)+1-MAX(0,ROUNDUP((AD$3-$E19)/7,0)))),IF($G19=101,(AND(EOMONTH(AD$3,0)&gt;=MAX(AD$3,$E19),EOMONTH(AD$3,0)&lt;=IF($F19="",AD$4,MIN(AD$4,$F19)))*1+AND(EOMONTH(AD$4,0)&lt;&gt;EOMONTH(AD$3,0),EOMONTH(AD$4,0)&gt;=MAX(AD$3,$E19),EOMONTH(AD$4,0)&lt;=IF($F19="",AD$4,MIN(AD$4,$F19)))*1),IF($G19=102,(AND(WORKDAY(EOMONTH(AD$3,0)+1,-3)&gt;=MAX(AD$3,$E19),WORKDAY(EOMONTH(AD$3,0)+1,-3)&lt;=IF($F19="",AD$4,MIN(AD$4,$F19)))*1+AND(WORKDAY(EOMONTH(AD$4,0)+1,-3)&lt;&gt;WORKDAY(EOMONTH(AD$3,0)+1,-3),WORKDAY(EOMONTH(AD$4,0)+1,-3)&gt;=MAX(AD$3,$E19),WORKDAY(EOMONTH(AD$4,0)+1,-3)&lt;=IF($F19="",AD$4,MIN(AD$4,$F19)))*1),IF(AND(IF(EDATE($E19,MAX(0,ROUNDUP(((YEAR(AD$3)-YEAR($E19))*12+MONTH(AD$3)-MONTH($E19))/$G19,0)*$G19))&lt;AD$3,EDATE($E19,MAX(0,ROUNDUP(((YEAR(AD$3)-YEAR($E19))*12+MONTH(AD$3)-MONTH($E19))/$G19,0)*$G19)+$G19),EDATE($E19,MAX(0,ROUNDUP(((YEAR(AD$3)-YEAR($E19))*12+MONTH(AD$3)-MONTH($E19))/$G19,0)*$G19)))&gt;=AD$3,IF(EDATE($E19,MAX(0,ROUNDUP(((YEAR(AD$3)-YEAR($E19))*12+MONTH(AD$3)-MONTH($E19))/$G19,0)*$G19))&lt;AD$3,EDATE($E19,MAX(0,ROUNDUP(((YEAR(AD$3)-YEAR($E19))*12+MONTH(AD$3)-MONTH($E19))/$G19,0)*$G19)+$G19),EDATE($E19,MAX(0,ROUNDUP(((YEAR(AD$3)-YEAR($E19))*12+MONTH(AD$3)-MONTH($E19))/$G19,0)*$G19)))&lt;=IF($F19="",AD$4,MIN(AD$4,$F19))),1,0)))))</f>
        <v>0</v>
      </c>
      <c r="AE19" s="25" t="n">
        <f aca="false">IF(OR($C19="",$C19=0,$E19="",$B19="",$G19=-2),0,$C19*IF($G19=0,IF(IF($F19="",AE$4,MIN(AE$4,$F19))&lt;$E19,0,MAX(0,INT((IF($F19="",AE$4,MIN(AE$4,$F19))-$E19)/7)+1-MAX(0,ROUNDUP((AE$3-$E19)/7,0)))),IF($G19=101,(AND(EOMONTH(AE$3,0)&gt;=MAX(AE$3,$E19),EOMONTH(AE$3,0)&lt;=IF($F19="",AE$4,MIN(AE$4,$F19)))*1+AND(EOMONTH(AE$4,0)&lt;&gt;EOMONTH(AE$3,0),EOMONTH(AE$4,0)&gt;=MAX(AE$3,$E19),EOMONTH(AE$4,0)&lt;=IF($F19="",AE$4,MIN(AE$4,$F19)))*1),IF($G19=102,(AND(WORKDAY(EOMONTH(AE$3,0)+1,-3)&gt;=MAX(AE$3,$E19),WORKDAY(EOMONTH(AE$3,0)+1,-3)&lt;=IF($F19="",AE$4,MIN(AE$4,$F19)))*1+AND(WORKDAY(EOMONTH(AE$4,0)+1,-3)&lt;&gt;WORKDAY(EOMONTH(AE$3,0)+1,-3),WORKDAY(EOMONTH(AE$4,0)+1,-3)&gt;=MAX(AE$3,$E19),WORKDAY(EOMONTH(AE$4,0)+1,-3)&lt;=IF($F19="",AE$4,MIN(AE$4,$F19)))*1),IF(AND(IF(EDATE($E19,MAX(0,ROUNDUP(((YEAR(AE$3)-YEAR($E19))*12+MONTH(AE$3)-MONTH($E19))/$G19,0)*$G19))&lt;AE$3,EDATE($E19,MAX(0,ROUNDUP(((YEAR(AE$3)-YEAR($E19))*12+MONTH(AE$3)-MONTH($E19))/$G19,0)*$G19)+$G19),EDATE($E19,MAX(0,ROUNDUP(((YEAR(AE$3)-YEAR($E19))*12+MONTH(AE$3)-MONTH($E19))/$G19,0)*$G19)))&gt;=AE$3,IF(EDATE($E19,MAX(0,ROUNDUP(((YEAR(AE$3)-YEAR($E19))*12+MONTH(AE$3)-MONTH($E19))/$G19,0)*$G19))&lt;AE$3,EDATE($E19,MAX(0,ROUNDUP(((YEAR(AE$3)-YEAR($E19))*12+MONTH(AE$3)-MONTH($E19))/$G19,0)*$G19)+$G19),EDATE($E19,MAX(0,ROUNDUP(((YEAR(AE$3)-YEAR($E19))*12+MONTH(AE$3)-MONTH($E19))/$G19,0)*$G19)))&lt;=IF($F19="",AE$4,MIN(AE$4,$F19))),1,0)))))</f>
        <v>0</v>
      </c>
      <c r="AF19" s="25" t="n">
        <f aca="false">IF(OR($C19="",$C19=0,$E19="",$B19="",$G19=-2),0,$C19*IF($G19=0,IF(IF($F19="",AF$4,MIN(AF$4,$F19))&lt;$E19,0,MAX(0,INT((IF($F19="",AF$4,MIN(AF$4,$F19))-$E19)/7)+1-MAX(0,ROUNDUP((AF$3-$E19)/7,0)))),IF($G19=101,(AND(EOMONTH(AF$3,0)&gt;=MAX(AF$3,$E19),EOMONTH(AF$3,0)&lt;=IF($F19="",AF$4,MIN(AF$4,$F19)))*1+AND(EOMONTH(AF$4,0)&lt;&gt;EOMONTH(AF$3,0),EOMONTH(AF$4,0)&gt;=MAX(AF$3,$E19),EOMONTH(AF$4,0)&lt;=IF($F19="",AF$4,MIN(AF$4,$F19)))*1),IF($G19=102,(AND(WORKDAY(EOMONTH(AF$3,0)+1,-3)&gt;=MAX(AF$3,$E19),WORKDAY(EOMONTH(AF$3,0)+1,-3)&lt;=IF($F19="",AF$4,MIN(AF$4,$F19)))*1+AND(WORKDAY(EOMONTH(AF$4,0)+1,-3)&lt;&gt;WORKDAY(EOMONTH(AF$3,0)+1,-3),WORKDAY(EOMONTH(AF$4,0)+1,-3)&gt;=MAX(AF$3,$E19),WORKDAY(EOMONTH(AF$4,0)+1,-3)&lt;=IF($F19="",AF$4,MIN(AF$4,$F19)))*1),IF(AND(IF(EDATE($E19,MAX(0,ROUNDUP(((YEAR(AF$3)-YEAR($E19))*12+MONTH(AF$3)-MONTH($E19))/$G19,0)*$G19))&lt;AF$3,EDATE($E19,MAX(0,ROUNDUP(((YEAR(AF$3)-YEAR($E19))*12+MONTH(AF$3)-MONTH($E19))/$G19,0)*$G19)+$G19),EDATE($E19,MAX(0,ROUNDUP(((YEAR(AF$3)-YEAR($E19))*12+MONTH(AF$3)-MONTH($E19))/$G19,0)*$G19)))&gt;=AF$3,IF(EDATE($E19,MAX(0,ROUNDUP(((YEAR(AF$3)-YEAR($E19))*12+MONTH(AF$3)-MONTH($E19))/$G19,0)*$G19))&lt;AF$3,EDATE($E19,MAX(0,ROUNDUP(((YEAR(AF$3)-YEAR($E19))*12+MONTH(AF$3)-MONTH($E19))/$G19,0)*$G19)+$G19),EDATE($E19,MAX(0,ROUNDUP(((YEAR(AF$3)-YEAR($E19))*12+MONTH(AF$3)-MONTH($E19))/$G19,0)*$G19)))&lt;=IF($F19="",AF$4,MIN(AF$4,$F19))),1,0)))))</f>
        <v>0</v>
      </c>
    </row>
    <row r="20" customFormat="false" ht="15" hidden="false" customHeight="false" outlineLevel="0" collapsed="false">
      <c r="A20" s="5"/>
      <c r="B20" s="5"/>
      <c r="C20" s="8"/>
      <c r="D20" s="5"/>
      <c r="E20" s="7"/>
      <c r="F20" s="7"/>
      <c r="G20" s="24" t="n">
        <f aca="false">IFERROR(INDEX(Listen!$E$2:$E$8,MATCH(D20,Listen!$D$2:$D$8,0)),-2)</f>
        <v>-2</v>
      </c>
      <c r="H20" s="25" t="n">
        <f aca="false">IF(OR($C20="",$C20=0,$E20="",$B20="",$G20=-2),0,$C20*IF($G20=0,IF(IF($F20="",H$4,MIN(H$4,$F20))&lt;$E20,0,MAX(0,INT((IF($F20="",H$4,MIN(H$4,$F20))-$E20)/7)+1-MAX(0,ROUNDUP((H$3-$E20)/7,0)))),IF($G20=101,(AND(EOMONTH(H$3,0)&gt;=MAX(H$3,$E20),EOMONTH(H$3,0)&lt;=IF($F20="",H$4,MIN(H$4,$F20)))*1+AND(EOMONTH(H$4,0)&lt;&gt;EOMONTH(H$3,0),EOMONTH(H$4,0)&gt;=MAX(H$3,$E20),EOMONTH(H$4,0)&lt;=IF($F20="",H$4,MIN(H$4,$F20)))*1),IF($G20=102,(AND(WORKDAY(EOMONTH(H$3,0)+1,-3)&gt;=MAX(H$3,$E20),WORKDAY(EOMONTH(H$3,0)+1,-3)&lt;=IF($F20="",H$4,MIN(H$4,$F20)))*1+AND(WORKDAY(EOMONTH(H$4,0)+1,-3)&lt;&gt;WORKDAY(EOMONTH(H$3,0)+1,-3),WORKDAY(EOMONTH(H$4,0)+1,-3)&gt;=MAX(H$3,$E20),WORKDAY(EOMONTH(H$4,0)+1,-3)&lt;=IF($F20="",H$4,MIN(H$4,$F20)))*1),IF(AND(IF(EDATE($E20,MAX(0,ROUNDUP(((YEAR(H$3)-YEAR($E20))*12+MONTH(H$3)-MONTH($E20))/$G20,0)*$G20))&lt;H$3,EDATE($E20,MAX(0,ROUNDUP(((YEAR(H$3)-YEAR($E20))*12+MONTH(H$3)-MONTH($E20))/$G20,0)*$G20)+$G20),EDATE($E20,MAX(0,ROUNDUP(((YEAR(H$3)-YEAR($E20))*12+MONTH(H$3)-MONTH($E20))/$G20,0)*$G20)))&gt;=H$3,IF(EDATE($E20,MAX(0,ROUNDUP(((YEAR(H$3)-YEAR($E20))*12+MONTH(H$3)-MONTH($E20))/$G20,0)*$G20))&lt;H$3,EDATE($E20,MAX(0,ROUNDUP(((YEAR(H$3)-YEAR($E20))*12+MONTH(H$3)-MONTH($E20))/$G20,0)*$G20)+$G20),EDATE($E20,MAX(0,ROUNDUP(((YEAR(H$3)-YEAR($E20))*12+MONTH(H$3)-MONTH($E20))/$G20,0)*$G20)))&lt;=IF($F20="",H$4,MIN(H$4,$F20))),1,0)))))</f>
        <v>0</v>
      </c>
      <c r="I20" s="25" t="n">
        <f aca="false">IF(OR($C20="",$C20=0,$E20="",$B20="",$G20=-2),0,$C20*IF($G20=0,IF(IF($F20="",I$4,MIN(I$4,$F20))&lt;$E20,0,MAX(0,INT((IF($F20="",I$4,MIN(I$4,$F20))-$E20)/7)+1-MAX(0,ROUNDUP((I$3-$E20)/7,0)))),IF($G20=101,(AND(EOMONTH(I$3,0)&gt;=MAX(I$3,$E20),EOMONTH(I$3,0)&lt;=IF($F20="",I$4,MIN(I$4,$F20)))*1+AND(EOMONTH(I$4,0)&lt;&gt;EOMONTH(I$3,0),EOMONTH(I$4,0)&gt;=MAX(I$3,$E20),EOMONTH(I$4,0)&lt;=IF($F20="",I$4,MIN(I$4,$F20)))*1),IF($G20=102,(AND(WORKDAY(EOMONTH(I$3,0)+1,-3)&gt;=MAX(I$3,$E20),WORKDAY(EOMONTH(I$3,0)+1,-3)&lt;=IF($F20="",I$4,MIN(I$4,$F20)))*1+AND(WORKDAY(EOMONTH(I$4,0)+1,-3)&lt;&gt;WORKDAY(EOMONTH(I$3,0)+1,-3),WORKDAY(EOMONTH(I$4,0)+1,-3)&gt;=MAX(I$3,$E20),WORKDAY(EOMONTH(I$4,0)+1,-3)&lt;=IF($F20="",I$4,MIN(I$4,$F20)))*1),IF(AND(IF(EDATE($E20,MAX(0,ROUNDUP(((YEAR(I$3)-YEAR($E20))*12+MONTH(I$3)-MONTH($E20))/$G20,0)*$G20))&lt;I$3,EDATE($E20,MAX(0,ROUNDUP(((YEAR(I$3)-YEAR($E20))*12+MONTH(I$3)-MONTH($E20))/$G20,0)*$G20)+$G20),EDATE($E20,MAX(0,ROUNDUP(((YEAR(I$3)-YEAR($E20))*12+MONTH(I$3)-MONTH($E20))/$G20,0)*$G20)))&gt;=I$3,IF(EDATE($E20,MAX(0,ROUNDUP(((YEAR(I$3)-YEAR($E20))*12+MONTH(I$3)-MONTH($E20))/$G20,0)*$G20))&lt;I$3,EDATE($E20,MAX(0,ROUNDUP(((YEAR(I$3)-YEAR($E20))*12+MONTH(I$3)-MONTH($E20))/$G20,0)*$G20)+$G20),EDATE($E20,MAX(0,ROUNDUP(((YEAR(I$3)-YEAR($E20))*12+MONTH(I$3)-MONTH($E20))/$G20,0)*$G20)))&lt;=IF($F20="",I$4,MIN(I$4,$F20))),1,0)))))</f>
        <v>0</v>
      </c>
      <c r="J20" s="25" t="n">
        <f aca="false">IF(OR($C20="",$C20=0,$E20="",$B20="",$G20=-2),0,$C20*IF($G20=0,IF(IF($F20="",J$4,MIN(J$4,$F20))&lt;$E20,0,MAX(0,INT((IF($F20="",J$4,MIN(J$4,$F20))-$E20)/7)+1-MAX(0,ROUNDUP((J$3-$E20)/7,0)))),IF($G20=101,(AND(EOMONTH(J$3,0)&gt;=MAX(J$3,$E20),EOMONTH(J$3,0)&lt;=IF($F20="",J$4,MIN(J$4,$F20)))*1+AND(EOMONTH(J$4,0)&lt;&gt;EOMONTH(J$3,0),EOMONTH(J$4,0)&gt;=MAX(J$3,$E20),EOMONTH(J$4,0)&lt;=IF($F20="",J$4,MIN(J$4,$F20)))*1),IF($G20=102,(AND(WORKDAY(EOMONTH(J$3,0)+1,-3)&gt;=MAX(J$3,$E20),WORKDAY(EOMONTH(J$3,0)+1,-3)&lt;=IF($F20="",J$4,MIN(J$4,$F20)))*1+AND(WORKDAY(EOMONTH(J$4,0)+1,-3)&lt;&gt;WORKDAY(EOMONTH(J$3,0)+1,-3),WORKDAY(EOMONTH(J$4,0)+1,-3)&gt;=MAX(J$3,$E20),WORKDAY(EOMONTH(J$4,0)+1,-3)&lt;=IF($F20="",J$4,MIN(J$4,$F20)))*1),IF(AND(IF(EDATE($E20,MAX(0,ROUNDUP(((YEAR(J$3)-YEAR($E20))*12+MONTH(J$3)-MONTH($E20))/$G20,0)*$G20))&lt;J$3,EDATE($E20,MAX(0,ROUNDUP(((YEAR(J$3)-YEAR($E20))*12+MONTH(J$3)-MONTH($E20))/$G20,0)*$G20)+$G20),EDATE($E20,MAX(0,ROUNDUP(((YEAR(J$3)-YEAR($E20))*12+MONTH(J$3)-MONTH($E20))/$G20,0)*$G20)))&gt;=J$3,IF(EDATE($E20,MAX(0,ROUNDUP(((YEAR(J$3)-YEAR($E20))*12+MONTH(J$3)-MONTH($E20))/$G20,0)*$G20))&lt;J$3,EDATE($E20,MAX(0,ROUNDUP(((YEAR(J$3)-YEAR($E20))*12+MONTH(J$3)-MONTH($E20))/$G20,0)*$G20)+$G20),EDATE($E20,MAX(0,ROUNDUP(((YEAR(J$3)-YEAR($E20))*12+MONTH(J$3)-MONTH($E20))/$G20,0)*$G20)))&lt;=IF($F20="",J$4,MIN(J$4,$F20))),1,0)))))</f>
        <v>0</v>
      </c>
      <c r="K20" s="25" t="n">
        <f aca="false">IF(OR($C20="",$C20=0,$E20="",$B20="",$G20=-2),0,$C20*IF($G20=0,IF(IF($F20="",K$4,MIN(K$4,$F20))&lt;$E20,0,MAX(0,INT((IF($F20="",K$4,MIN(K$4,$F20))-$E20)/7)+1-MAX(0,ROUNDUP((K$3-$E20)/7,0)))),IF($G20=101,(AND(EOMONTH(K$3,0)&gt;=MAX(K$3,$E20),EOMONTH(K$3,0)&lt;=IF($F20="",K$4,MIN(K$4,$F20)))*1+AND(EOMONTH(K$4,0)&lt;&gt;EOMONTH(K$3,0),EOMONTH(K$4,0)&gt;=MAX(K$3,$E20),EOMONTH(K$4,0)&lt;=IF($F20="",K$4,MIN(K$4,$F20)))*1),IF($G20=102,(AND(WORKDAY(EOMONTH(K$3,0)+1,-3)&gt;=MAX(K$3,$E20),WORKDAY(EOMONTH(K$3,0)+1,-3)&lt;=IF($F20="",K$4,MIN(K$4,$F20)))*1+AND(WORKDAY(EOMONTH(K$4,0)+1,-3)&lt;&gt;WORKDAY(EOMONTH(K$3,0)+1,-3),WORKDAY(EOMONTH(K$4,0)+1,-3)&gt;=MAX(K$3,$E20),WORKDAY(EOMONTH(K$4,0)+1,-3)&lt;=IF($F20="",K$4,MIN(K$4,$F20)))*1),IF(AND(IF(EDATE($E20,MAX(0,ROUNDUP(((YEAR(K$3)-YEAR($E20))*12+MONTH(K$3)-MONTH($E20))/$G20,0)*$G20))&lt;K$3,EDATE($E20,MAX(0,ROUNDUP(((YEAR(K$3)-YEAR($E20))*12+MONTH(K$3)-MONTH($E20))/$G20,0)*$G20)+$G20),EDATE($E20,MAX(0,ROUNDUP(((YEAR(K$3)-YEAR($E20))*12+MONTH(K$3)-MONTH($E20))/$G20,0)*$G20)))&gt;=K$3,IF(EDATE($E20,MAX(0,ROUNDUP(((YEAR(K$3)-YEAR($E20))*12+MONTH(K$3)-MONTH($E20))/$G20,0)*$G20))&lt;K$3,EDATE($E20,MAX(0,ROUNDUP(((YEAR(K$3)-YEAR($E20))*12+MONTH(K$3)-MONTH($E20))/$G20,0)*$G20)+$G20),EDATE($E20,MAX(0,ROUNDUP(((YEAR(K$3)-YEAR($E20))*12+MONTH(K$3)-MONTH($E20))/$G20,0)*$G20)))&lt;=IF($F20="",K$4,MIN(K$4,$F20))),1,0)))))</f>
        <v>0</v>
      </c>
      <c r="L20" s="25" t="n">
        <f aca="false">IF(OR($C20="",$C20=0,$E20="",$B20="",$G20=-2),0,$C20*IF($G20=0,IF(IF($F20="",L$4,MIN(L$4,$F20))&lt;$E20,0,MAX(0,INT((IF($F20="",L$4,MIN(L$4,$F20))-$E20)/7)+1-MAX(0,ROUNDUP((L$3-$E20)/7,0)))),IF($G20=101,(AND(EOMONTH(L$3,0)&gt;=MAX(L$3,$E20),EOMONTH(L$3,0)&lt;=IF($F20="",L$4,MIN(L$4,$F20)))*1+AND(EOMONTH(L$4,0)&lt;&gt;EOMONTH(L$3,0),EOMONTH(L$4,0)&gt;=MAX(L$3,$E20),EOMONTH(L$4,0)&lt;=IF($F20="",L$4,MIN(L$4,$F20)))*1),IF($G20=102,(AND(WORKDAY(EOMONTH(L$3,0)+1,-3)&gt;=MAX(L$3,$E20),WORKDAY(EOMONTH(L$3,0)+1,-3)&lt;=IF($F20="",L$4,MIN(L$4,$F20)))*1+AND(WORKDAY(EOMONTH(L$4,0)+1,-3)&lt;&gt;WORKDAY(EOMONTH(L$3,0)+1,-3),WORKDAY(EOMONTH(L$4,0)+1,-3)&gt;=MAX(L$3,$E20),WORKDAY(EOMONTH(L$4,0)+1,-3)&lt;=IF($F20="",L$4,MIN(L$4,$F20)))*1),IF(AND(IF(EDATE($E20,MAX(0,ROUNDUP(((YEAR(L$3)-YEAR($E20))*12+MONTH(L$3)-MONTH($E20))/$G20,0)*$G20))&lt;L$3,EDATE($E20,MAX(0,ROUNDUP(((YEAR(L$3)-YEAR($E20))*12+MONTH(L$3)-MONTH($E20))/$G20,0)*$G20)+$G20),EDATE($E20,MAX(0,ROUNDUP(((YEAR(L$3)-YEAR($E20))*12+MONTH(L$3)-MONTH($E20))/$G20,0)*$G20)))&gt;=L$3,IF(EDATE($E20,MAX(0,ROUNDUP(((YEAR(L$3)-YEAR($E20))*12+MONTH(L$3)-MONTH($E20))/$G20,0)*$G20))&lt;L$3,EDATE($E20,MAX(0,ROUNDUP(((YEAR(L$3)-YEAR($E20))*12+MONTH(L$3)-MONTH($E20))/$G20,0)*$G20)+$G20),EDATE($E20,MAX(0,ROUNDUP(((YEAR(L$3)-YEAR($E20))*12+MONTH(L$3)-MONTH($E20))/$G20,0)*$G20)))&lt;=IF($F20="",L$4,MIN(L$4,$F20))),1,0)))))</f>
        <v>0</v>
      </c>
      <c r="M20" s="25" t="n">
        <f aca="false">IF(OR($C20="",$C20=0,$E20="",$B20="",$G20=-2),0,$C20*IF($G20=0,IF(IF($F20="",M$4,MIN(M$4,$F20))&lt;$E20,0,MAX(0,INT((IF($F20="",M$4,MIN(M$4,$F20))-$E20)/7)+1-MAX(0,ROUNDUP((M$3-$E20)/7,0)))),IF($G20=101,(AND(EOMONTH(M$3,0)&gt;=MAX(M$3,$E20),EOMONTH(M$3,0)&lt;=IF($F20="",M$4,MIN(M$4,$F20)))*1+AND(EOMONTH(M$4,0)&lt;&gt;EOMONTH(M$3,0),EOMONTH(M$4,0)&gt;=MAX(M$3,$E20),EOMONTH(M$4,0)&lt;=IF($F20="",M$4,MIN(M$4,$F20)))*1),IF($G20=102,(AND(WORKDAY(EOMONTH(M$3,0)+1,-3)&gt;=MAX(M$3,$E20),WORKDAY(EOMONTH(M$3,0)+1,-3)&lt;=IF($F20="",M$4,MIN(M$4,$F20)))*1+AND(WORKDAY(EOMONTH(M$4,0)+1,-3)&lt;&gt;WORKDAY(EOMONTH(M$3,0)+1,-3),WORKDAY(EOMONTH(M$4,0)+1,-3)&gt;=MAX(M$3,$E20),WORKDAY(EOMONTH(M$4,0)+1,-3)&lt;=IF($F20="",M$4,MIN(M$4,$F20)))*1),IF(AND(IF(EDATE($E20,MAX(0,ROUNDUP(((YEAR(M$3)-YEAR($E20))*12+MONTH(M$3)-MONTH($E20))/$G20,0)*$G20))&lt;M$3,EDATE($E20,MAX(0,ROUNDUP(((YEAR(M$3)-YEAR($E20))*12+MONTH(M$3)-MONTH($E20))/$G20,0)*$G20)+$G20),EDATE($E20,MAX(0,ROUNDUP(((YEAR(M$3)-YEAR($E20))*12+MONTH(M$3)-MONTH($E20))/$G20,0)*$G20)))&gt;=M$3,IF(EDATE($E20,MAX(0,ROUNDUP(((YEAR(M$3)-YEAR($E20))*12+MONTH(M$3)-MONTH($E20))/$G20,0)*$G20))&lt;M$3,EDATE($E20,MAX(0,ROUNDUP(((YEAR(M$3)-YEAR($E20))*12+MONTH(M$3)-MONTH($E20))/$G20,0)*$G20)+$G20),EDATE($E20,MAX(0,ROUNDUP(((YEAR(M$3)-YEAR($E20))*12+MONTH(M$3)-MONTH($E20))/$G20,0)*$G20)))&lt;=IF($F20="",M$4,MIN(M$4,$F20))),1,0)))))</f>
        <v>0</v>
      </c>
      <c r="N20" s="25" t="n">
        <f aca="false">IF(OR($C20="",$C20=0,$E20="",$B20="",$G20=-2),0,$C20*IF($G20=0,IF(IF($F20="",N$4,MIN(N$4,$F20))&lt;$E20,0,MAX(0,INT((IF($F20="",N$4,MIN(N$4,$F20))-$E20)/7)+1-MAX(0,ROUNDUP((N$3-$E20)/7,0)))),IF($G20=101,(AND(EOMONTH(N$3,0)&gt;=MAX(N$3,$E20),EOMONTH(N$3,0)&lt;=IF($F20="",N$4,MIN(N$4,$F20)))*1+AND(EOMONTH(N$4,0)&lt;&gt;EOMONTH(N$3,0),EOMONTH(N$4,0)&gt;=MAX(N$3,$E20),EOMONTH(N$4,0)&lt;=IF($F20="",N$4,MIN(N$4,$F20)))*1),IF($G20=102,(AND(WORKDAY(EOMONTH(N$3,0)+1,-3)&gt;=MAX(N$3,$E20),WORKDAY(EOMONTH(N$3,0)+1,-3)&lt;=IF($F20="",N$4,MIN(N$4,$F20)))*1+AND(WORKDAY(EOMONTH(N$4,0)+1,-3)&lt;&gt;WORKDAY(EOMONTH(N$3,0)+1,-3),WORKDAY(EOMONTH(N$4,0)+1,-3)&gt;=MAX(N$3,$E20),WORKDAY(EOMONTH(N$4,0)+1,-3)&lt;=IF($F20="",N$4,MIN(N$4,$F20)))*1),IF(AND(IF(EDATE($E20,MAX(0,ROUNDUP(((YEAR(N$3)-YEAR($E20))*12+MONTH(N$3)-MONTH($E20))/$G20,0)*$G20))&lt;N$3,EDATE($E20,MAX(0,ROUNDUP(((YEAR(N$3)-YEAR($E20))*12+MONTH(N$3)-MONTH($E20))/$G20,0)*$G20)+$G20),EDATE($E20,MAX(0,ROUNDUP(((YEAR(N$3)-YEAR($E20))*12+MONTH(N$3)-MONTH($E20))/$G20,0)*$G20)))&gt;=N$3,IF(EDATE($E20,MAX(0,ROUNDUP(((YEAR(N$3)-YEAR($E20))*12+MONTH(N$3)-MONTH($E20))/$G20,0)*$G20))&lt;N$3,EDATE($E20,MAX(0,ROUNDUP(((YEAR(N$3)-YEAR($E20))*12+MONTH(N$3)-MONTH($E20))/$G20,0)*$G20)+$G20),EDATE($E20,MAX(0,ROUNDUP(((YEAR(N$3)-YEAR($E20))*12+MONTH(N$3)-MONTH($E20))/$G20,0)*$G20)))&lt;=IF($F20="",N$4,MIN(N$4,$F20))),1,0)))))</f>
        <v>0</v>
      </c>
      <c r="O20" s="25" t="n">
        <f aca="false">IF(OR($C20="",$C20=0,$E20="",$B20="",$G20=-2),0,$C20*IF($G20=0,IF(IF($F20="",O$4,MIN(O$4,$F20))&lt;$E20,0,MAX(0,INT((IF($F20="",O$4,MIN(O$4,$F20))-$E20)/7)+1-MAX(0,ROUNDUP((O$3-$E20)/7,0)))),IF($G20=101,(AND(EOMONTH(O$3,0)&gt;=MAX(O$3,$E20),EOMONTH(O$3,0)&lt;=IF($F20="",O$4,MIN(O$4,$F20)))*1+AND(EOMONTH(O$4,0)&lt;&gt;EOMONTH(O$3,0),EOMONTH(O$4,0)&gt;=MAX(O$3,$E20),EOMONTH(O$4,0)&lt;=IF($F20="",O$4,MIN(O$4,$F20)))*1),IF($G20=102,(AND(WORKDAY(EOMONTH(O$3,0)+1,-3)&gt;=MAX(O$3,$E20),WORKDAY(EOMONTH(O$3,0)+1,-3)&lt;=IF($F20="",O$4,MIN(O$4,$F20)))*1+AND(WORKDAY(EOMONTH(O$4,0)+1,-3)&lt;&gt;WORKDAY(EOMONTH(O$3,0)+1,-3),WORKDAY(EOMONTH(O$4,0)+1,-3)&gt;=MAX(O$3,$E20),WORKDAY(EOMONTH(O$4,0)+1,-3)&lt;=IF($F20="",O$4,MIN(O$4,$F20)))*1),IF(AND(IF(EDATE($E20,MAX(0,ROUNDUP(((YEAR(O$3)-YEAR($E20))*12+MONTH(O$3)-MONTH($E20))/$G20,0)*$G20))&lt;O$3,EDATE($E20,MAX(0,ROUNDUP(((YEAR(O$3)-YEAR($E20))*12+MONTH(O$3)-MONTH($E20))/$G20,0)*$G20)+$G20),EDATE($E20,MAX(0,ROUNDUP(((YEAR(O$3)-YEAR($E20))*12+MONTH(O$3)-MONTH($E20))/$G20,0)*$G20)))&gt;=O$3,IF(EDATE($E20,MAX(0,ROUNDUP(((YEAR(O$3)-YEAR($E20))*12+MONTH(O$3)-MONTH($E20))/$G20,0)*$G20))&lt;O$3,EDATE($E20,MAX(0,ROUNDUP(((YEAR(O$3)-YEAR($E20))*12+MONTH(O$3)-MONTH($E20))/$G20,0)*$G20)+$G20),EDATE($E20,MAX(0,ROUNDUP(((YEAR(O$3)-YEAR($E20))*12+MONTH(O$3)-MONTH($E20))/$G20,0)*$G20)))&lt;=IF($F20="",O$4,MIN(O$4,$F20))),1,0)))))</f>
        <v>0</v>
      </c>
      <c r="P20" s="25" t="n">
        <f aca="false">IF(OR($C20="",$C20=0,$E20="",$B20="",$G20=-2),0,$C20*IF($G20=0,IF(IF($F20="",P$4,MIN(P$4,$F20))&lt;$E20,0,MAX(0,INT((IF($F20="",P$4,MIN(P$4,$F20))-$E20)/7)+1-MAX(0,ROUNDUP((P$3-$E20)/7,0)))),IF($G20=101,(AND(EOMONTH(P$3,0)&gt;=MAX(P$3,$E20),EOMONTH(P$3,0)&lt;=IF($F20="",P$4,MIN(P$4,$F20)))*1+AND(EOMONTH(P$4,0)&lt;&gt;EOMONTH(P$3,0),EOMONTH(P$4,0)&gt;=MAX(P$3,$E20),EOMONTH(P$4,0)&lt;=IF($F20="",P$4,MIN(P$4,$F20)))*1),IF($G20=102,(AND(WORKDAY(EOMONTH(P$3,0)+1,-3)&gt;=MAX(P$3,$E20),WORKDAY(EOMONTH(P$3,0)+1,-3)&lt;=IF($F20="",P$4,MIN(P$4,$F20)))*1+AND(WORKDAY(EOMONTH(P$4,0)+1,-3)&lt;&gt;WORKDAY(EOMONTH(P$3,0)+1,-3),WORKDAY(EOMONTH(P$4,0)+1,-3)&gt;=MAX(P$3,$E20),WORKDAY(EOMONTH(P$4,0)+1,-3)&lt;=IF($F20="",P$4,MIN(P$4,$F20)))*1),IF(AND(IF(EDATE($E20,MAX(0,ROUNDUP(((YEAR(P$3)-YEAR($E20))*12+MONTH(P$3)-MONTH($E20))/$G20,0)*$G20))&lt;P$3,EDATE($E20,MAX(0,ROUNDUP(((YEAR(P$3)-YEAR($E20))*12+MONTH(P$3)-MONTH($E20))/$G20,0)*$G20)+$G20),EDATE($E20,MAX(0,ROUNDUP(((YEAR(P$3)-YEAR($E20))*12+MONTH(P$3)-MONTH($E20))/$G20,0)*$G20)))&gt;=P$3,IF(EDATE($E20,MAX(0,ROUNDUP(((YEAR(P$3)-YEAR($E20))*12+MONTH(P$3)-MONTH($E20))/$G20,0)*$G20))&lt;P$3,EDATE($E20,MAX(0,ROUNDUP(((YEAR(P$3)-YEAR($E20))*12+MONTH(P$3)-MONTH($E20))/$G20,0)*$G20)+$G20),EDATE($E20,MAX(0,ROUNDUP(((YEAR(P$3)-YEAR($E20))*12+MONTH(P$3)-MONTH($E20))/$G20,0)*$G20)))&lt;=IF($F20="",P$4,MIN(P$4,$F20))),1,0)))))</f>
        <v>0</v>
      </c>
      <c r="Q20" s="25" t="n">
        <f aca="false">IF(OR($C20="",$C20=0,$E20="",$B20="",$G20=-2),0,$C20*IF($G20=0,IF(IF($F20="",Q$4,MIN(Q$4,$F20))&lt;$E20,0,MAX(0,INT((IF($F20="",Q$4,MIN(Q$4,$F20))-$E20)/7)+1-MAX(0,ROUNDUP((Q$3-$E20)/7,0)))),IF($G20=101,(AND(EOMONTH(Q$3,0)&gt;=MAX(Q$3,$E20),EOMONTH(Q$3,0)&lt;=IF($F20="",Q$4,MIN(Q$4,$F20)))*1+AND(EOMONTH(Q$4,0)&lt;&gt;EOMONTH(Q$3,0),EOMONTH(Q$4,0)&gt;=MAX(Q$3,$E20),EOMONTH(Q$4,0)&lt;=IF($F20="",Q$4,MIN(Q$4,$F20)))*1),IF($G20=102,(AND(WORKDAY(EOMONTH(Q$3,0)+1,-3)&gt;=MAX(Q$3,$E20),WORKDAY(EOMONTH(Q$3,0)+1,-3)&lt;=IF($F20="",Q$4,MIN(Q$4,$F20)))*1+AND(WORKDAY(EOMONTH(Q$4,0)+1,-3)&lt;&gt;WORKDAY(EOMONTH(Q$3,0)+1,-3),WORKDAY(EOMONTH(Q$4,0)+1,-3)&gt;=MAX(Q$3,$E20),WORKDAY(EOMONTH(Q$4,0)+1,-3)&lt;=IF($F20="",Q$4,MIN(Q$4,$F20)))*1),IF(AND(IF(EDATE($E20,MAX(0,ROUNDUP(((YEAR(Q$3)-YEAR($E20))*12+MONTH(Q$3)-MONTH($E20))/$G20,0)*$G20))&lt;Q$3,EDATE($E20,MAX(0,ROUNDUP(((YEAR(Q$3)-YEAR($E20))*12+MONTH(Q$3)-MONTH($E20))/$G20,0)*$G20)+$G20),EDATE($E20,MAX(0,ROUNDUP(((YEAR(Q$3)-YEAR($E20))*12+MONTH(Q$3)-MONTH($E20))/$G20,0)*$G20)))&gt;=Q$3,IF(EDATE($E20,MAX(0,ROUNDUP(((YEAR(Q$3)-YEAR($E20))*12+MONTH(Q$3)-MONTH($E20))/$G20,0)*$G20))&lt;Q$3,EDATE($E20,MAX(0,ROUNDUP(((YEAR(Q$3)-YEAR($E20))*12+MONTH(Q$3)-MONTH($E20))/$G20,0)*$G20)+$G20),EDATE($E20,MAX(0,ROUNDUP(((YEAR(Q$3)-YEAR($E20))*12+MONTH(Q$3)-MONTH($E20))/$G20,0)*$G20)))&lt;=IF($F20="",Q$4,MIN(Q$4,$F20))),1,0)))))</f>
        <v>0</v>
      </c>
      <c r="R20" s="25" t="n">
        <f aca="false">IF(OR($C20="",$C20=0,$E20="",$B20="",$G20=-2),0,$C20*IF($G20=0,IF(IF($F20="",R$4,MIN(R$4,$F20))&lt;$E20,0,MAX(0,INT((IF($F20="",R$4,MIN(R$4,$F20))-$E20)/7)+1-MAX(0,ROUNDUP((R$3-$E20)/7,0)))),IF($G20=101,(AND(EOMONTH(R$3,0)&gt;=MAX(R$3,$E20),EOMONTH(R$3,0)&lt;=IF($F20="",R$4,MIN(R$4,$F20)))*1+AND(EOMONTH(R$4,0)&lt;&gt;EOMONTH(R$3,0),EOMONTH(R$4,0)&gt;=MAX(R$3,$E20),EOMONTH(R$4,0)&lt;=IF($F20="",R$4,MIN(R$4,$F20)))*1),IF($G20=102,(AND(WORKDAY(EOMONTH(R$3,0)+1,-3)&gt;=MAX(R$3,$E20),WORKDAY(EOMONTH(R$3,0)+1,-3)&lt;=IF($F20="",R$4,MIN(R$4,$F20)))*1+AND(WORKDAY(EOMONTH(R$4,0)+1,-3)&lt;&gt;WORKDAY(EOMONTH(R$3,0)+1,-3),WORKDAY(EOMONTH(R$4,0)+1,-3)&gt;=MAX(R$3,$E20),WORKDAY(EOMONTH(R$4,0)+1,-3)&lt;=IF($F20="",R$4,MIN(R$4,$F20)))*1),IF(AND(IF(EDATE($E20,MAX(0,ROUNDUP(((YEAR(R$3)-YEAR($E20))*12+MONTH(R$3)-MONTH($E20))/$G20,0)*$G20))&lt;R$3,EDATE($E20,MAX(0,ROUNDUP(((YEAR(R$3)-YEAR($E20))*12+MONTH(R$3)-MONTH($E20))/$G20,0)*$G20)+$G20),EDATE($E20,MAX(0,ROUNDUP(((YEAR(R$3)-YEAR($E20))*12+MONTH(R$3)-MONTH($E20))/$G20,0)*$G20)))&gt;=R$3,IF(EDATE($E20,MAX(0,ROUNDUP(((YEAR(R$3)-YEAR($E20))*12+MONTH(R$3)-MONTH($E20))/$G20,0)*$G20))&lt;R$3,EDATE($E20,MAX(0,ROUNDUP(((YEAR(R$3)-YEAR($E20))*12+MONTH(R$3)-MONTH($E20))/$G20,0)*$G20)+$G20),EDATE($E20,MAX(0,ROUNDUP(((YEAR(R$3)-YEAR($E20))*12+MONTH(R$3)-MONTH($E20))/$G20,0)*$G20)))&lt;=IF($F20="",R$4,MIN(R$4,$F20))),1,0)))))</f>
        <v>0</v>
      </c>
      <c r="S20" s="25" t="n">
        <f aca="false">IF(OR($C20="",$C20=0,$E20="",$B20="",$G20=-2),0,$C20*IF($G20=0,IF(IF($F20="",S$4,MIN(S$4,$F20))&lt;$E20,0,MAX(0,INT((IF($F20="",S$4,MIN(S$4,$F20))-$E20)/7)+1-MAX(0,ROUNDUP((S$3-$E20)/7,0)))),IF($G20=101,(AND(EOMONTH(S$3,0)&gt;=MAX(S$3,$E20),EOMONTH(S$3,0)&lt;=IF($F20="",S$4,MIN(S$4,$F20)))*1+AND(EOMONTH(S$4,0)&lt;&gt;EOMONTH(S$3,0),EOMONTH(S$4,0)&gt;=MAX(S$3,$E20),EOMONTH(S$4,0)&lt;=IF($F20="",S$4,MIN(S$4,$F20)))*1),IF($G20=102,(AND(WORKDAY(EOMONTH(S$3,0)+1,-3)&gt;=MAX(S$3,$E20),WORKDAY(EOMONTH(S$3,0)+1,-3)&lt;=IF($F20="",S$4,MIN(S$4,$F20)))*1+AND(WORKDAY(EOMONTH(S$4,0)+1,-3)&lt;&gt;WORKDAY(EOMONTH(S$3,0)+1,-3),WORKDAY(EOMONTH(S$4,0)+1,-3)&gt;=MAX(S$3,$E20),WORKDAY(EOMONTH(S$4,0)+1,-3)&lt;=IF($F20="",S$4,MIN(S$4,$F20)))*1),IF(AND(IF(EDATE($E20,MAX(0,ROUNDUP(((YEAR(S$3)-YEAR($E20))*12+MONTH(S$3)-MONTH($E20))/$G20,0)*$G20))&lt;S$3,EDATE($E20,MAX(0,ROUNDUP(((YEAR(S$3)-YEAR($E20))*12+MONTH(S$3)-MONTH($E20))/$G20,0)*$G20)+$G20),EDATE($E20,MAX(0,ROUNDUP(((YEAR(S$3)-YEAR($E20))*12+MONTH(S$3)-MONTH($E20))/$G20,0)*$G20)))&gt;=S$3,IF(EDATE($E20,MAX(0,ROUNDUP(((YEAR(S$3)-YEAR($E20))*12+MONTH(S$3)-MONTH($E20))/$G20,0)*$G20))&lt;S$3,EDATE($E20,MAX(0,ROUNDUP(((YEAR(S$3)-YEAR($E20))*12+MONTH(S$3)-MONTH($E20))/$G20,0)*$G20)+$G20),EDATE($E20,MAX(0,ROUNDUP(((YEAR(S$3)-YEAR($E20))*12+MONTH(S$3)-MONTH($E20))/$G20,0)*$G20)))&lt;=IF($F20="",S$4,MIN(S$4,$F20))),1,0)))))</f>
        <v>0</v>
      </c>
      <c r="T20" s="25" t="n">
        <f aca="false">IF(OR($C20="",$C20=0,$E20="",$B20="",$G20=-2),0,$C20*IF($G20=0,IF(IF($F20="",T$4,MIN(T$4,$F20))&lt;$E20,0,MAX(0,INT((IF($F20="",T$4,MIN(T$4,$F20))-$E20)/7)+1-MAX(0,ROUNDUP((T$3-$E20)/7,0)))),IF($G20=101,(AND(EOMONTH(T$3,0)&gt;=MAX(T$3,$E20),EOMONTH(T$3,0)&lt;=IF($F20="",T$4,MIN(T$4,$F20)))*1+AND(EOMONTH(T$4,0)&lt;&gt;EOMONTH(T$3,0),EOMONTH(T$4,0)&gt;=MAX(T$3,$E20),EOMONTH(T$4,0)&lt;=IF($F20="",T$4,MIN(T$4,$F20)))*1),IF($G20=102,(AND(WORKDAY(EOMONTH(T$3,0)+1,-3)&gt;=MAX(T$3,$E20),WORKDAY(EOMONTH(T$3,0)+1,-3)&lt;=IF($F20="",T$4,MIN(T$4,$F20)))*1+AND(WORKDAY(EOMONTH(T$4,0)+1,-3)&lt;&gt;WORKDAY(EOMONTH(T$3,0)+1,-3),WORKDAY(EOMONTH(T$4,0)+1,-3)&gt;=MAX(T$3,$E20),WORKDAY(EOMONTH(T$4,0)+1,-3)&lt;=IF($F20="",T$4,MIN(T$4,$F20)))*1),IF(AND(IF(EDATE($E20,MAX(0,ROUNDUP(((YEAR(T$3)-YEAR($E20))*12+MONTH(T$3)-MONTH($E20))/$G20,0)*$G20))&lt;T$3,EDATE($E20,MAX(0,ROUNDUP(((YEAR(T$3)-YEAR($E20))*12+MONTH(T$3)-MONTH($E20))/$G20,0)*$G20)+$G20),EDATE($E20,MAX(0,ROUNDUP(((YEAR(T$3)-YEAR($E20))*12+MONTH(T$3)-MONTH($E20))/$G20,0)*$G20)))&gt;=T$3,IF(EDATE($E20,MAX(0,ROUNDUP(((YEAR(T$3)-YEAR($E20))*12+MONTH(T$3)-MONTH($E20))/$G20,0)*$G20))&lt;T$3,EDATE($E20,MAX(0,ROUNDUP(((YEAR(T$3)-YEAR($E20))*12+MONTH(T$3)-MONTH($E20))/$G20,0)*$G20)+$G20),EDATE($E20,MAX(0,ROUNDUP(((YEAR(T$3)-YEAR($E20))*12+MONTH(T$3)-MONTH($E20))/$G20,0)*$G20)))&lt;=IF($F20="",T$4,MIN(T$4,$F20))),1,0)))))</f>
        <v>0</v>
      </c>
      <c r="U20" s="25" t="n">
        <f aca="false">IF(OR($C20="",$C20=0,$E20="",$B20="",$G20=-2),0,$C20*IF($G20=0,IF(IF($F20="",U$4,MIN(U$4,$F20))&lt;$E20,0,MAX(0,INT((IF($F20="",U$4,MIN(U$4,$F20))-$E20)/7)+1-MAX(0,ROUNDUP((U$3-$E20)/7,0)))),IF($G20=101,(AND(EOMONTH(U$3,0)&gt;=MAX(U$3,$E20),EOMONTH(U$3,0)&lt;=IF($F20="",U$4,MIN(U$4,$F20)))*1+AND(EOMONTH(U$4,0)&lt;&gt;EOMONTH(U$3,0),EOMONTH(U$4,0)&gt;=MAX(U$3,$E20),EOMONTH(U$4,0)&lt;=IF($F20="",U$4,MIN(U$4,$F20)))*1),IF($G20=102,(AND(WORKDAY(EOMONTH(U$3,0)+1,-3)&gt;=MAX(U$3,$E20),WORKDAY(EOMONTH(U$3,0)+1,-3)&lt;=IF($F20="",U$4,MIN(U$4,$F20)))*1+AND(WORKDAY(EOMONTH(U$4,0)+1,-3)&lt;&gt;WORKDAY(EOMONTH(U$3,0)+1,-3),WORKDAY(EOMONTH(U$4,0)+1,-3)&gt;=MAX(U$3,$E20),WORKDAY(EOMONTH(U$4,0)+1,-3)&lt;=IF($F20="",U$4,MIN(U$4,$F20)))*1),IF(AND(IF(EDATE($E20,MAX(0,ROUNDUP(((YEAR(U$3)-YEAR($E20))*12+MONTH(U$3)-MONTH($E20))/$G20,0)*$G20))&lt;U$3,EDATE($E20,MAX(0,ROUNDUP(((YEAR(U$3)-YEAR($E20))*12+MONTH(U$3)-MONTH($E20))/$G20,0)*$G20)+$G20),EDATE($E20,MAX(0,ROUNDUP(((YEAR(U$3)-YEAR($E20))*12+MONTH(U$3)-MONTH($E20))/$G20,0)*$G20)))&gt;=U$3,IF(EDATE($E20,MAX(0,ROUNDUP(((YEAR(U$3)-YEAR($E20))*12+MONTH(U$3)-MONTH($E20))/$G20,0)*$G20))&lt;U$3,EDATE($E20,MAX(0,ROUNDUP(((YEAR(U$3)-YEAR($E20))*12+MONTH(U$3)-MONTH($E20))/$G20,0)*$G20)+$G20),EDATE($E20,MAX(0,ROUNDUP(((YEAR(U$3)-YEAR($E20))*12+MONTH(U$3)-MONTH($E20))/$G20,0)*$G20)))&lt;=IF($F20="",U$4,MIN(U$4,$F20))),1,0)))))</f>
        <v>0</v>
      </c>
      <c r="V20" s="25" t="n">
        <f aca="false">IF(OR($C20="",$C20=0,$E20="",$B20="",$G20=-2),0,$C20*IF($G20=0,IF(IF($F20="",V$4,MIN(V$4,$F20))&lt;$E20,0,MAX(0,INT((IF($F20="",V$4,MIN(V$4,$F20))-$E20)/7)+1-MAX(0,ROUNDUP((V$3-$E20)/7,0)))),IF($G20=101,(AND(EOMONTH(V$3,0)&gt;=MAX(V$3,$E20),EOMONTH(V$3,0)&lt;=IF($F20="",V$4,MIN(V$4,$F20)))*1+AND(EOMONTH(V$4,0)&lt;&gt;EOMONTH(V$3,0),EOMONTH(V$4,0)&gt;=MAX(V$3,$E20),EOMONTH(V$4,0)&lt;=IF($F20="",V$4,MIN(V$4,$F20)))*1),IF($G20=102,(AND(WORKDAY(EOMONTH(V$3,0)+1,-3)&gt;=MAX(V$3,$E20),WORKDAY(EOMONTH(V$3,0)+1,-3)&lt;=IF($F20="",V$4,MIN(V$4,$F20)))*1+AND(WORKDAY(EOMONTH(V$4,0)+1,-3)&lt;&gt;WORKDAY(EOMONTH(V$3,0)+1,-3),WORKDAY(EOMONTH(V$4,0)+1,-3)&gt;=MAX(V$3,$E20),WORKDAY(EOMONTH(V$4,0)+1,-3)&lt;=IF($F20="",V$4,MIN(V$4,$F20)))*1),IF(AND(IF(EDATE($E20,MAX(0,ROUNDUP(((YEAR(V$3)-YEAR($E20))*12+MONTH(V$3)-MONTH($E20))/$G20,0)*$G20))&lt;V$3,EDATE($E20,MAX(0,ROUNDUP(((YEAR(V$3)-YEAR($E20))*12+MONTH(V$3)-MONTH($E20))/$G20,0)*$G20)+$G20),EDATE($E20,MAX(0,ROUNDUP(((YEAR(V$3)-YEAR($E20))*12+MONTH(V$3)-MONTH($E20))/$G20,0)*$G20)))&gt;=V$3,IF(EDATE($E20,MAX(0,ROUNDUP(((YEAR(V$3)-YEAR($E20))*12+MONTH(V$3)-MONTH($E20))/$G20,0)*$G20))&lt;V$3,EDATE($E20,MAX(0,ROUNDUP(((YEAR(V$3)-YEAR($E20))*12+MONTH(V$3)-MONTH($E20))/$G20,0)*$G20)+$G20),EDATE($E20,MAX(0,ROUNDUP(((YEAR(V$3)-YEAR($E20))*12+MONTH(V$3)-MONTH($E20))/$G20,0)*$G20)))&lt;=IF($F20="",V$4,MIN(V$4,$F20))),1,0)))))</f>
        <v>0</v>
      </c>
      <c r="W20" s="25" t="n">
        <f aca="false">IF(OR($C20="",$C20=0,$E20="",$B20="",$G20=-2),0,$C20*IF($G20=0,IF(IF($F20="",W$4,MIN(W$4,$F20))&lt;$E20,0,MAX(0,INT((IF($F20="",W$4,MIN(W$4,$F20))-$E20)/7)+1-MAX(0,ROUNDUP((W$3-$E20)/7,0)))),IF($G20=101,(AND(EOMONTH(W$3,0)&gt;=MAX(W$3,$E20),EOMONTH(W$3,0)&lt;=IF($F20="",W$4,MIN(W$4,$F20)))*1+AND(EOMONTH(W$4,0)&lt;&gt;EOMONTH(W$3,0),EOMONTH(W$4,0)&gt;=MAX(W$3,$E20),EOMONTH(W$4,0)&lt;=IF($F20="",W$4,MIN(W$4,$F20)))*1),IF($G20=102,(AND(WORKDAY(EOMONTH(W$3,0)+1,-3)&gt;=MAX(W$3,$E20),WORKDAY(EOMONTH(W$3,0)+1,-3)&lt;=IF($F20="",W$4,MIN(W$4,$F20)))*1+AND(WORKDAY(EOMONTH(W$4,0)+1,-3)&lt;&gt;WORKDAY(EOMONTH(W$3,0)+1,-3),WORKDAY(EOMONTH(W$4,0)+1,-3)&gt;=MAX(W$3,$E20),WORKDAY(EOMONTH(W$4,0)+1,-3)&lt;=IF($F20="",W$4,MIN(W$4,$F20)))*1),IF(AND(IF(EDATE($E20,MAX(0,ROUNDUP(((YEAR(W$3)-YEAR($E20))*12+MONTH(W$3)-MONTH($E20))/$G20,0)*$G20))&lt;W$3,EDATE($E20,MAX(0,ROUNDUP(((YEAR(W$3)-YEAR($E20))*12+MONTH(W$3)-MONTH($E20))/$G20,0)*$G20)+$G20),EDATE($E20,MAX(0,ROUNDUP(((YEAR(W$3)-YEAR($E20))*12+MONTH(W$3)-MONTH($E20))/$G20,0)*$G20)))&gt;=W$3,IF(EDATE($E20,MAX(0,ROUNDUP(((YEAR(W$3)-YEAR($E20))*12+MONTH(W$3)-MONTH($E20))/$G20,0)*$G20))&lt;W$3,EDATE($E20,MAX(0,ROUNDUP(((YEAR(W$3)-YEAR($E20))*12+MONTH(W$3)-MONTH($E20))/$G20,0)*$G20)+$G20),EDATE($E20,MAX(0,ROUNDUP(((YEAR(W$3)-YEAR($E20))*12+MONTH(W$3)-MONTH($E20))/$G20,0)*$G20)))&lt;=IF($F20="",W$4,MIN(W$4,$F20))),1,0)))))</f>
        <v>0</v>
      </c>
      <c r="X20" s="25" t="n">
        <f aca="false">IF(OR($C20="",$C20=0,$E20="",$B20="",$G20=-2),0,$C20*IF($G20=0,IF(IF($F20="",X$4,MIN(X$4,$F20))&lt;$E20,0,MAX(0,INT((IF($F20="",X$4,MIN(X$4,$F20))-$E20)/7)+1-MAX(0,ROUNDUP((X$3-$E20)/7,0)))),IF($G20=101,(AND(EOMONTH(X$3,0)&gt;=MAX(X$3,$E20),EOMONTH(X$3,0)&lt;=IF($F20="",X$4,MIN(X$4,$F20)))*1+AND(EOMONTH(X$4,0)&lt;&gt;EOMONTH(X$3,0),EOMONTH(X$4,0)&gt;=MAX(X$3,$E20),EOMONTH(X$4,0)&lt;=IF($F20="",X$4,MIN(X$4,$F20)))*1),IF($G20=102,(AND(WORKDAY(EOMONTH(X$3,0)+1,-3)&gt;=MAX(X$3,$E20),WORKDAY(EOMONTH(X$3,0)+1,-3)&lt;=IF($F20="",X$4,MIN(X$4,$F20)))*1+AND(WORKDAY(EOMONTH(X$4,0)+1,-3)&lt;&gt;WORKDAY(EOMONTH(X$3,0)+1,-3),WORKDAY(EOMONTH(X$4,0)+1,-3)&gt;=MAX(X$3,$E20),WORKDAY(EOMONTH(X$4,0)+1,-3)&lt;=IF($F20="",X$4,MIN(X$4,$F20)))*1),IF(AND(IF(EDATE($E20,MAX(0,ROUNDUP(((YEAR(X$3)-YEAR($E20))*12+MONTH(X$3)-MONTH($E20))/$G20,0)*$G20))&lt;X$3,EDATE($E20,MAX(0,ROUNDUP(((YEAR(X$3)-YEAR($E20))*12+MONTH(X$3)-MONTH($E20))/$G20,0)*$G20)+$G20),EDATE($E20,MAX(0,ROUNDUP(((YEAR(X$3)-YEAR($E20))*12+MONTH(X$3)-MONTH($E20))/$G20,0)*$G20)))&gt;=X$3,IF(EDATE($E20,MAX(0,ROUNDUP(((YEAR(X$3)-YEAR($E20))*12+MONTH(X$3)-MONTH($E20))/$G20,0)*$G20))&lt;X$3,EDATE($E20,MAX(0,ROUNDUP(((YEAR(X$3)-YEAR($E20))*12+MONTH(X$3)-MONTH($E20))/$G20,0)*$G20)+$G20),EDATE($E20,MAX(0,ROUNDUP(((YEAR(X$3)-YEAR($E20))*12+MONTH(X$3)-MONTH($E20))/$G20,0)*$G20)))&lt;=IF($F20="",X$4,MIN(X$4,$F20))),1,0)))))</f>
        <v>0</v>
      </c>
      <c r="Y20" s="25" t="n">
        <f aca="false">IF(OR($C20="",$C20=0,$E20="",$B20="",$G20=-2),0,$C20*IF($G20=0,IF(IF($F20="",Y$4,MIN(Y$4,$F20))&lt;$E20,0,MAX(0,INT((IF($F20="",Y$4,MIN(Y$4,$F20))-$E20)/7)+1-MAX(0,ROUNDUP((Y$3-$E20)/7,0)))),IF($G20=101,(AND(EOMONTH(Y$3,0)&gt;=MAX(Y$3,$E20),EOMONTH(Y$3,0)&lt;=IF($F20="",Y$4,MIN(Y$4,$F20)))*1+AND(EOMONTH(Y$4,0)&lt;&gt;EOMONTH(Y$3,0),EOMONTH(Y$4,0)&gt;=MAX(Y$3,$E20),EOMONTH(Y$4,0)&lt;=IF($F20="",Y$4,MIN(Y$4,$F20)))*1),IF($G20=102,(AND(WORKDAY(EOMONTH(Y$3,0)+1,-3)&gt;=MAX(Y$3,$E20),WORKDAY(EOMONTH(Y$3,0)+1,-3)&lt;=IF($F20="",Y$4,MIN(Y$4,$F20)))*1+AND(WORKDAY(EOMONTH(Y$4,0)+1,-3)&lt;&gt;WORKDAY(EOMONTH(Y$3,0)+1,-3),WORKDAY(EOMONTH(Y$4,0)+1,-3)&gt;=MAX(Y$3,$E20),WORKDAY(EOMONTH(Y$4,0)+1,-3)&lt;=IF($F20="",Y$4,MIN(Y$4,$F20)))*1),IF(AND(IF(EDATE($E20,MAX(0,ROUNDUP(((YEAR(Y$3)-YEAR($E20))*12+MONTH(Y$3)-MONTH($E20))/$G20,0)*$G20))&lt;Y$3,EDATE($E20,MAX(0,ROUNDUP(((YEAR(Y$3)-YEAR($E20))*12+MONTH(Y$3)-MONTH($E20))/$G20,0)*$G20)+$G20),EDATE($E20,MAX(0,ROUNDUP(((YEAR(Y$3)-YEAR($E20))*12+MONTH(Y$3)-MONTH($E20))/$G20,0)*$G20)))&gt;=Y$3,IF(EDATE($E20,MAX(0,ROUNDUP(((YEAR(Y$3)-YEAR($E20))*12+MONTH(Y$3)-MONTH($E20))/$G20,0)*$G20))&lt;Y$3,EDATE($E20,MAX(0,ROUNDUP(((YEAR(Y$3)-YEAR($E20))*12+MONTH(Y$3)-MONTH($E20))/$G20,0)*$G20)+$G20),EDATE($E20,MAX(0,ROUNDUP(((YEAR(Y$3)-YEAR($E20))*12+MONTH(Y$3)-MONTH($E20))/$G20,0)*$G20)))&lt;=IF($F20="",Y$4,MIN(Y$4,$F20))),1,0)))))</f>
        <v>0</v>
      </c>
      <c r="Z20" s="25" t="n">
        <f aca="false">IF(OR($C20="",$C20=0,$E20="",$B20="",$G20=-2),0,$C20*IF($G20=0,IF(IF($F20="",Z$4,MIN(Z$4,$F20))&lt;$E20,0,MAX(0,INT((IF($F20="",Z$4,MIN(Z$4,$F20))-$E20)/7)+1-MAX(0,ROUNDUP((Z$3-$E20)/7,0)))),IF($G20=101,(AND(EOMONTH(Z$3,0)&gt;=MAX(Z$3,$E20),EOMONTH(Z$3,0)&lt;=IF($F20="",Z$4,MIN(Z$4,$F20)))*1+AND(EOMONTH(Z$4,0)&lt;&gt;EOMONTH(Z$3,0),EOMONTH(Z$4,0)&gt;=MAX(Z$3,$E20),EOMONTH(Z$4,0)&lt;=IF($F20="",Z$4,MIN(Z$4,$F20)))*1),IF($G20=102,(AND(WORKDAY(EOMONTH(Z$3,0)+1,-3)&gt;=MAX(Z$3,$E20),WORKDAY(EOMONTH(Z$3,0)+1,-3)&lt;=IF($F20="",Z$4,MIN(Z$4,$F20)))*1+AND(WORKDAY(EOMONTH(Z$4,0)+1,-3)&lt;&gt;WORKDAY(EOMONTH(Z$3,0)+1,-3),WORKDAY(EOMONTH(Z$4,0)+1,-3)&gt;=MAX(Z$3,$E20),WORKDAY(EOMONTH(Z$4,0)+1,-3)&lt;=IF($F20="",Z$4,MIN(Z$4,$F20)))*1),IF(AND(IF(EDATE($E20,MAX(0,ROUNDUP(((YEAR(Z$3)-YEAR($E20))*12+MONTH(Z$3)-MONTH($E20))/$G20,0)*$G20))&lt;Z$3,EDATE($E20,MAX(0,ROUNDUP(((YEAR(Z$3)-YEAR($E20))*12+MONTH(Z$3)-MONTH($E20))/$G20,0)*$G20)+$G20),EDATE($E20,MAX(0,ROUNDUP(((YEAR(Z$3)-YEAR($E20))*12+MONTH(Z$3)-MONTH($E20))/$G20,0)*$G20)))&gt;=Z$3,IF(EDATE($E20,MAX(0,ROUNDUP(((YEAR(Z$3)-YEAR($E20))*12+MONTH(Z$3)-MONTH($E20))/$G20,0)*$G20))&lt;Z$3,EDATE($E20,MAX(0,ROUNDUP(((YEAR(Z$3)-YEAR($E20))*12+MONTH(Z$3)-MONTH($E20))/$G20,0)*$G20)+$G20),EDATE($E20,MAX(0,ROUNDUP(((YEAR(Z$3)-YEAR($E20))*12+MONTH(Z$3)-MONTH($E20))/$G20,0)*$G20)))&lt;=IF($F20="",Z$4,MIN(Z$4,$F20))),1,0)))))</f>
        <v>0</v>
      </c>
      <c r="AA20" s="25" t="n">
        <f aca="false">IF(OR($C20="",$C20=0,$E20="",$B20="",$G20=-2),0,$C20*IF($G20=0,IF(IF($F20="",AA$4,MIN(AA$4,$F20))&lt;$E20,0,MAX(0,INT((IF($F20="",AA$4,MIN(AA$4,$F20))-$E20)/7)+1-MAX(0,ROUNDUP((AA$3-$E20)/7,0)))),IF($G20=101,(AND(EOMONTH(AA$3,0)&gt;=MAX(AA$3,$E20),EOMONTH(AA$3,0)&lt;=IF($F20="",AA$4,MIN(AA$4,$F20)))*1+AND(EOMONTH(AA$4,0)&lt;&gt;EOMONTH(AA$3,0),EOMONTH(AA$4,0)&gt;=MAX(AA$3,$E20),EOMONTH(AA$4,0)&lt;=IF($F20="",AA$4,MIN(AA$4,$F20)))*1),IF($G20=102,(AND(WORKDAY(EOMONTH(AA$3,0)+1,-3)&gt;=MAX(AA$3,$E20),WORKDAY(EOMONTH(AA$3,0)+1,-3)&lt;=IF($F20="",AA$4,MIN(AA$4,$F20)))*1+AND(WORKDAY(EOMONTH(AA$4,0)+1,-3)&lt;&gt;WORKDAY(EOMONTH(AA$3,0)+1,-3),WORKDAY(EOMONTH(AA$4,0)+1,-3)&gt;=MAX(AA$3,$E20),WORKDAY(EOMONTH(AA$4,0)+1,-3)&lt;=IF($F20="",AA$4,MIN(AA$4,$F20)))*1),IF(AND(IF(EDATE($E20,MAX(0,ROUNDUP(((YEAR(AA$3)-YEAR($E20))*12+MONTH(AA$3)-MONTH($E20))/$G20,0)*$G20))&lt;AA$3,EDATE($E20,MAX(0,ROUNDUP(((YEAR(AA$3)-YEAR($E20))*12+MONTH(AA$3)-MONTH($E20))/$G20,0)*$G20)+$G20),EDATE($E20,MAX(0,ROUNDUP(((YEAR(AA$3)-YEAR($E20))*12+MONTH(AA$3)-MONTH($E20))/$G20,0)*$G20)))&gt;=AA$3,IF(EDATE($E20,MAX(0,ROUNDUP(((YEAR(AA$3)-YEAR($E20))*12+MONTH(AA$3)-MONTH($E20))/$G20,0)*$G20))&lt;AA$3,EDATE($E20,MAX(0,ROUNDUP(((YEAR(AA$3)-YEAR($E20))*12+MONTH(AA$3)-MONTH($E20))/$G20,0)*$G20)+$G20),EDATE($E20,MAX(0,ROUNDUP(((YEAR(AA$3)-YEAR($E20))*12+MONTH(AA$3)-MONTH($E20))/$G20,0)*$G20)))&lt;=IF($F20="",AA$4,MIN(AA$4,$F20))),1,0)))))</f>
        <v>0</v>
      </c>
      <c r="AB20" s="25" t="n">
        <f aca="false">IF(OR($C20="",$C20=0,$E20="",$B20="",$G20=-2),0,$C20*IF($G20=0,IF(IF($F20="",AB$4,MIN(AB$4,$F20))&lt;$E20,0,MAX(0,INT((IF($F20="",AB$4,MIN(AB$4,$F20))-$E20)/7)+1-MAX(0,ROUNDUP((AB$3-$E20)/7,0)))),IF($G20=101,(AND(EOMONTH(AB$3,0)&gt;=MAX(AB$3,$E20),EOMONTH(AB$3,0)&lt;=IF($F20="",AB$4,MIN(AB$4,$F20)))*1+AND(EOMONTH(AB$4,0)&lt;&gt;EOMONTH(AB$3,0),EOMONTH(AB$4,0)&gt;=MAX(AB$3,$E20),EOMONTH(AB$4,0)&lt;=IF($F20="",AB$4,MIN(AB$4,$F20)))*1),IF($G20=102,(AND(WORKDAY(EOMONTH(AB$3,0)+1,-3)&gt;=MAX(AB$3,$E20),WORKDAY(EOMONTH(AB$3,0)+1,-3)&lt;=IF($F20="",AB$4,MIN(AB$4,$F20)))*1+AND(WORKDAY(EOMONTH(AB$4,0)+1,-3)&lt;&gt;WORKDAY(EOMONTH(AB$3,0)+1,-3),WORKDAY(EOMONTH(AB$4,0)+1,-3)&gt;=MAX(AB$3,$E20),WORKDAY(EOMONTH(AB$4,0)+1,-3)&lt;=IF($F20="",AB$4,MIN(AB$4,$F20)))*1),IF(AND(IF(EDATE($E20,MAX(0,ROUNDUP(((YEAR(AB$3)-YEAR($E20))*12+MONTH(AB$3)-MONTH($E20))/$G20,0)*$G20))&lt;AB$3,EDATE($E20,MAX(0,ROUNDUP(((YEAR(AB$3)-YEAR($E20))*12+MONTH(AB$3)-MONTH($E20))/$G20,0)*$G20)+$G20),EDATE($E20,MAX(0,ROUNDUP(((YEAR(AB$3)-YEAR($E20))*12+MONTH(AB$3)-MONTH($E20))/$G20,0)*$G20)))&gt;=AB$3,IF(EDATE($E20,MAX(0,ROUNDUP(((YEAR(AB$3)-YEAR($E20))*12+MONTH(AB$3)-MONTH($E20))/$G20,0)*$G20))&lt;AB$3,EDATE($E20,MAX(0,ROUNDUP(((YEAR(AB$3)-YEAR($E20))*12+MONTH(AB$3)-MONTH($E20))/$G20,0)*$G20)+$G20),EDATE($E20,MAX(0,ROUNDUP(((YEAR(AB$3)-YEAR($E20))*12+MONTH(AB$3)-MONTH($E20))/$G20,0)*$G20)))&lt;=IF($F20="",AB$4,MIN(AB$4,$F20))),1,0)))))</f>
        <v>0</v>
      </c>
      <c r="AC20" s="25" t="n">
        <f aca="false">IF(OR($C20="",$C20=0,$E20="",$B20="",$G20=-2),0,$C20*IF($G20=0,IF(IF($F20="",AC$4,MIN(AC$4,$F20))&lt;$E20,0,MAX(0,INT((IF($F20="",AC$4,MIN(AC$4,$F20))-$E20)/7)+1-MAX(0,ROUNDUP((AC$3-$E20)/7,0)))),IF($G20=101,(AND(EOMONTH(AC$3,0)&gt;=MAX(AC$3,$E20),EOMONTH(AC$3,0)&lt;=IF($F20="",AC$4,MIN(AC$4,$F20)))*1+AND(EOMONTH(AC$4,0)&lt;&gt;EOMONTH(AC$3,0),EOMONTH(AC$4,0)&gt;=MAX(AC$3,$E20),EOMONTH(AC$4,0)&lt;=IF($F20="",AC$4,MIN(AC$4,$F20)))*1),IF($G20=102,(AND(WORKDAY(EOMONTH(AC$3,0)+1,-3)&gt;=MAX(AC$3,$E20),WORKDAY(EOMONTH(AC$3,0)+1,-3)&lt;=IF($F20="",AC$4,MIN(AC$4,$F20)))*1+AND(WORKDAY(EOMONTH(AC$4,0)+1,-3)&lt;&gt;WORKDAY(EOMONTH(AC$3,0)+1,-3),WORKDAY(EOMONTH(AC$4,0)+1,-3)&gt;=MAX(AC$3,$E20),WORKDAY(EOMONTH(AC$4,0)+1,-3)&lt;=IF($F20="",AC$4,MIN(AC$4,$F20)))*1),IF(AND(IF(EDATE($E20,MAX(0,ROUNDUP(((YEAR(AC$3)-YEAR($E20))*12+MONTH(AC$3)-MONTH($E20))/$G20,0)*$G20))&lt;AC$3,EDATE($E20,MAX(0,ROUNDUP(((YEAR(AC$3)-YEAR($E20))*12+MONTH(AC$3)-MONTH($E20))/$G20,0)*$G20)+$G20),EDATE($E20,MAX(0,ROUNDUP(((YEAR(AC$3)-YEAR($E20))*12+MONTH(AC$3)-MONTH($E20))/$G20,0)*$G20)))&gt;=AC$3,IF(EDATE($E20,MAX(0,ROUNDUP(((YEAR(AC$3)-YEAR($E20))*12+MONTH(AC$3)-MONTH($E20))/$G20,0)*$G20))&lt;AC$3,EDATE($E20,MAX(0,ROUNDUP(((YEAR(AC$3)-YEAR($E20))*12+MONTH(AC$3)-MONTH($E20))/$G20,0)*$G20)+$G20),EDATE($E20,MAX(0,ROUNDUP(((YEAR(AC$3)-YEAR($E20))*12+MONTH(AC$3)-MONTH($E20))/$G20,0)*$G20)))&lt;=IF($F20="",AC$4,MIN(AC$4,$F20))),1,0)))))</f>
        <v>0</v>
      </c>
      <c r="AD20" s="25" t="n">
        <f aca="false">IF(OR($C20="",$C20=0,$E20="",$B20="",$G20=-2),0,$C20*IF($G20=0,IF(IF($F20="",AD$4,MIN(AD$4,$F20))&lt;$E20,0,MAX(0,INT((IF($F20="",AD$4,MIN(AD$4,$F20))-$E20)/7)+1-MAX(0,ROUNDUP((AD$3-$E20)/7,0)))),IF($G20=101,(AND(EOMONTH(AD$3,0)&gt;=MAX(AD$3,$E20),EOMONTH(AD$3,0)&lt;=IF($F20="",AD$4,MIN(AD$4,$F20)))*1+AND(EOMONTH(AD$4,0)&lt;&gt;EOMONTH(AD$3,0),EOMONTH(AD$4,0)&gt;=MAX(AD$3,$E20),EOMONTH(AD$4,0)&lt;=IF($F20="",AD$4,MIN(AD$4,$F20)))*1),IF($G20=102,(AND(WORKDAY(EOMONTH(AD$3,0)+1,-3)&gt;=MAX(AD$3,$E20),WORKDAY(EOMONTH(AD$3,0)+1,-3)&lt;=IF($F20="",AD$4,MIN(AD$4,$F20)))*1+AND(WORKDAY(EOMONTH(AD$4,0)+1,-3)&lt;&gt;WORKDAY(EOMONTH(AD$3,0)+1,-3),WORKDAY(EOMONTH(AD$4,0)+1,-3)&gt;=MAX(AD$3,$E20),WORKDAY(EOMONTH(AD$4,0)+1,-3)&lt;=IF($F20="",AD$4,MIN(AD$4,$F20)))*1),IF(AND(IF(EDATE($E20,MAX(0,ROUNDUP(((YEAR(AD$3)-YEAR($E20))*12+MONTH(AD$3)-MONTH($E20))/$G20,0)*$G20))&lt;AD$3,EDATE($E20,MAX(0,ROUNDUP(((YEAR(AD$3)-YEAR($E20))*12+MONTH(AD$3)-MONTH($E20))/$G20,0)*$G20)+$G20),EDATE($E20,MAX(0,ROUNDUP(((YEAR(AD$3)-YEAR($E20))*12+MONTH(AD$3)-MONTH($E20))/$G20,0)*$G20)))&gt;=AD$3,IF(EDATE($E20,MAX(0,ROUNDUP(((YEAR(AD$3)-YEAR($E20))*12+MONTH(AD$3)-MONTH($E20))/$G20,0)*$G20))&lt;AD$3,EDATE($E20,MAX(0,ROUNDUP(((YEAR(AD$3)-YEAR($E20))*12+MONTH(AD$3)-MONTH($E20))/$G20,0)*$G20)+$G20),EDATE($E20,MAX(0,ROUNDUP(((YEAR(AD$3)-YEAR($E20))*12+MONTH(AD$3)-MONTH($E20))/$G20,0)*$G20)))&lt;=IF($F20="",AD$4,MIN(AD$4,$F20))),1,0)))))</f>
        <v>0</v>
      </c>
      <c r="AE20" s="25" t="n">
        <f aca="false">IF(OR($C20="",$C20=0,$E20="",$B20="",$G20=-2),0,$C20*IF($G20=0,IF(IF($F20="",AE$4,MIN(AE$4,$F20))&lt;$E20,0,MAX(0,INT((IF($F20="",AE$4,MIN(AE$4,$F20))-$E20)/7)+1-MAX(0,ROUNDUP((AE$3-$E20)/7,0)))),IF($G20=101,(AND(EOMONTH(AE$3,0)&gt;=MAX(AE$3,$E20),EOMONTH(AE$3,0)&lt;=IF($F20="",AE$4,MIN(AE$4,$F20)))*1+AND(EOMONTH(AE$4,0)&lt;&gt;EOMONTH(AE$3,0),EOMONTH(AE$4,0)&gt;=MAX(AE$3,$E20),EOMONTH(AE$4,0)&lt;=IF($F20="",AE$4,MIN(AE$4,$F20)))*1),IF($G20=102,(AND(WORKDAY(EOMONTH(AE$3,0)+1,-3)&gt;=MAX(AE$3,$E20),WORKDAY(EOMONTH(AE$3,0)+1,-3)&lt;=IF($F20="",AE$4,MIN(AE$4,$F20)))*1+AND(WORKDAY(EOMONTH(AE$4,0)+1,-3)&lt;&gt;WORKDAY(EOMONTH(AE$3,0)+1,-3),WORKDAY(EOMONTH(AE$4,0)+1,-3)&gt;=MAX(AE$3,$E20),WORKDAY(EOMONTH(AE$4,0)+1,-3)&lt;=IF($F20="",AE$4,MIN(AE$4,$F20)))*1),IF(AND(IF(EDATE($E20,MAX(0,ROUNDUP(((YEAR(AE$3)-YEAR($E20))*12+MONTH(AE$3)-MONTH($E20))/$G20,0)*$G20))&lt;AE$3,EDATE($E20,MAX(0,ROUNDUP(((YEAR(AE$3)-YEAR($E20))*12+MONTH(AE$3)-MONTH($E20))/$G20,0)*$G20)+$G20),EDATE($E20,MAX(0,ROUNDUP(((YEAR(AE$3)-YEAR($E20))*12+MONTH(AE$3)-MONTH($E20))/$G20,0)*$G20)))&gt;=AE$3,IF(EDATE($E20,MAX(0,ROUNDUP(((YEAR(AE$3)-YEAR($E20))*12+MONTH(AE$3)-MONTH($E20))/$G20,0)*$G20))&lt;AE$3,EDATE($E20,MAX(0,ROUNDUP(((YEAR(AE$3)-YEAR($E20))*12+MONTH(AE$3)-MONTH($E20))/$G20,0)*$G20)+$G20),EDATE($E20,MAX(0,ROUNDUP(((YEAR(AE$3)-YEAR($E20))*12+MONTH(AE$3)-MONTH($E20))/$G20,0)*$G20)))&lt;=IF($F20="",AE$4,MIN(AE$4,$F20))),1,0)))))</f>
        <v>0</v>
      </c>
      <c r="AF20" s="25" t="n">
        <f aca="false">IF(OR($C20="",$C20=0,$E20="",$B20="",$G20=-2),0,$C20*IF($G20=0,IF(IF($F20="",AF$4,MIN(AF$4,$F20))&lt;$E20,0,MAX(0,INT((IF($F20="",AF$4,MIN(AF$4,$F20))-$E20)/7)+1-MAX(0,ROUNDUP((AF$3-$E20)/7,0)))),IF($G20=101,(AND(EOMONTH(AF$3,0)&gt;=MAX(AF$3,$E20),EOMONTH(AF$3,0)&lt;=IF($F20="",AF$4,MIN(AF$4,$F20)))*1+AND(EOMONTH(AF$4,0)&lt;&gt;EOMONTH(AF$3,0),EOMONTH(AF$4,0)&gt;=MAX(AF$3,$E20),EOMONTH(AF$4,0)&lt;=IF($F20="",AF$4,MIN(AF$4,$F20)))*1),IF($G20=102,(AND(WORKDAY(EOMONTH(AF$3,0)+1,-3)&gt;=MAX(AF$3,$E20),WORKDAY(EOMONTH(AF$3,0)+1,-3)&lt;=IF($F20="",AF$4,MIN(AF$4,$F20)))*1+AND(WORKDAY(EOMONTH(AF$4,0)+1,-3)&lt;&gt;WORKDAY(EOMONTH(AF$3,0)+1,-3),WORKDAY(EOMONTH(AF$4,0)+1,-3)&gt;=MAX(AF$3,$E20),WORKDAY(EOMONTH(AF$4,0)+1,-3)&lt;=IF($F20="",AF$4,MIN(AF$4,$F20)))*1),IF(AND(IF(EDATE($E20,MAX(0,ROUNDUP(((YEAR(AF$3)-YEAR($E20))*12+MONTH(AF$3)-MONTH($E20))/$G20,0)*$G20))&lt;AF$3,EDATE($E20,MAX(0,ROUNDUP(((YEAR(AF$3)-YEAR($E20))*12+MONTH(AF$3)-MONTH($E20))/$G20,0)*$G20)+$G20),EDATE($E20,MAX(0,ROUNDUP(((YEAR(AF$3)-YEAR($E20))*12+MONTH(AF$3)-MONTH($E20))/$G20,0)*$G20)))&gt;=AF$3,IF(EDATE($E20,MAX(0,ROUNDUP(((YEAR(AF$3)-YEAR($E20))*12+MONTH(AF$3)-MONTH($E20))/$G20,0)*$G20))&lt;AF$3,EDATE($E20,MAX(0,ROUNDUP(((YEAR(AF$3)-YEAR($E20))*12+MONTH(AF$3)-MONTH($E20))/$G20,0)*$G20)+$G20),EDATE($E20,MAX(0,ROUNDUP(((YEAR(AF$3)-YEAR($E20))*12+MONTH(AF$3)-MONTH($E20))/$G20,0)*$G20)))&lt;=IF($F20="",AF$4,MIN(AF$4,$F20))),1,0)))))</f>
        <v>0</v>
      </c>
    </row>
    <row r="21" customFormat="false" ht="15" hidden="false" customHeight="false" outlineLevel="0" collapsed="false">
      <c r="A21" s="5"/>
      <c r="B21" s="5"/>
      <c r="C21" s="8"/>
      <c r="D21" s="5"/>
      <c r="E21" s="7"/>
      <c r="F21" s="7"/>
      <c r="G21" s="24" t="n">
        <f aca="false">IFERROR(INDEX(Listen!$E$2:$E$8,MATCH(D21,Listen!$D$2:$D$8,0)),-2)</f>
        <v>-2</v>
      </c>
      <c r="H21" s="25" t="n">
        <f aca="false">IF(OR($C21="",$C21=0,$E21="",$B21="",$G21=-2),0,$C21*IF($G21=0,IF(IF($F21="",H$4,MIN(H$4,$F21))&lt;$E21,0,MAX(0,INT((IF($F21="",H$4,MIN(H$4,$F21))-$E21)/7)+1-MAX(0,ROUNDUP((H$3-$E21)/7,0)))),IF($G21=101,(AND(EOMONTH(H$3,0)&gt;=MAX(H$3,$E21),EOMONTH(H$3,0)&lt;=IF($F21="",H$4,MIN(H$4,$F21)))*1+AND(EOMONTH(H$4,0)&lt;&gt;EOMONTH(H$3,0),EOMONTH(H$4,0)&gt;=MAX(H$3,$E21),EOMONTH(H$4,0)&lt;=IF($F21="",H$4,MIN(H$4,$F21)))*1),IF($G21=102,(AND(WORKDAY(EOMONTH(H$3,0)+1,-3)&gt;=MAX(H$3,$E21),WORKDAY(EOMONTH(H$3,0)+1,-3)&lt;=IF($F21="",H$4,MIN(H$4,$F21)))*1+AND(WORKDAY(EOMONTH(H$4,0)+1,-3)&lt;&gt;WORKDAY(EOMONTH(H$3,0)+1,-3),WORKDAY(EOMONTH(H$4,0)+1,-3)&gt;=MAX(H$3,$E21),WORKDAY(EOMONTH(H$4,0)+1,-3)&lt;=IF($F21="",H$4,MIN(H$4,$F21)))*1),IF(AND(IF(EDATE($E21,MAX(0,ROUNDUP(((YEAR(H$3)-YEAR($E21))*12+MONTH(H$3)-MONTH($E21))/$G21,0)*$G21))&lt;H$3,EDATE($E21,MAX(0,ROUNDUP(((YEAR(H$3)-YEAR($E21))*12+MONTH(H$3)-MONTH($E21))/$G21,0)*$G21)+$G21),EDATE($E21,MAX(0,ROUNDUP(((YEAR(H$3)-YEAR($E21))*12+MONTH(H$3)-MONTH($E21))/$G21,0)*$G21)))&gt;=H$3,IF(EDATE($E21,MAX(0,ROUNDUP(((YEAR(H$3)-YEAR($E21))*12+MONTH(H$3)-MONTH($E21))/$G21,0)*$G21))&lt;H$3,EDATE($E21,MAX(0,ROUNDUP(((YEAR(H$3)-YEAR($E21))*12+MONTH(H$3)-MONTH($E21))/$G21,0)*$G21)+$G21),EDATE($E21,MAX(0,ROUNDUP(((YEAR(H$3)-YEAR($E21))*12+MONTH(H$3)-MONTH($E21))/$G21,0)*$G21)))&lt;=IF($F21="",H$4,MIN(H$4,$F21))),1,0)))))</f>
        <v>0</v>
      </c>
      <c r="I21" s="25" t="n">
        <f aca="false">IF(OR($C21="",$C21=0,$E21="",$B21="",$G21=-2),0,$C21*IF($G21=0,IF(IF($F21="",I$4,MIN(I$4,$F21))&lt;$E21,0,MAX(0,INT((IF($F21="",I$4,MIN(I$4,$F21))-$E21)/7)+1-MAX(0,ROUNDUP((I$3-$E21)/7,0)))),IF($G21=101,(AND(EOMONTH(I$3,0)&gt;=MAX(I$3,$E21),EOMONTH(I$3,0)&lt;=IF($F21="",I$4,MIN(I$4,$F21)))*1+AND(EOMONTH(I$4,0)&lt;&gt;EOMONTH(I$3,0),EOMONTH(I$4,0)&gt;=MAX(I$3,$E21),EOMONTH(I$4,0)&lt;=IF($F21="",I$4,MIN(I$4,$F21)))*1),IF($G21=102,(AND(WORKDAY(EOMONTH(I$3,0)+1,-3)&gt;=MAX(I$3,$E21),WORKDAY(EOMONTH(I$3,0)+1,-3)&lt;=IF($F21="",I$4,MIN(I$4,$F21)))*1+AND(WORKDAY(EOMONTH(I$4,0)+1,-3)&lt;&gt;WORKDAY(EOMONTH(I$3,0)+1,-3),WORKDAY(EOMONTH(I$4,0)+1,-3)&gt;=MAX(I$3,$E21),WORKDAY(EOMONTH(I$4,0)+1,-3)&lt;=IF($F21="",I$4,MIN(I$4,$F21)))*1),IF(AND(IF(EDATE($E21,MAX(0,ROUNDUP(((YEAR(I$3)-YEAR($E21))*12+MONTH(I$3)-MONTH($E21))/$G21,0)*$G21))&lt;I$3,EDATE($E21,MAX(0,ROUNDUP(((YEAR(I$3)-YEAR($E21))*12+MONTH(I$3)-MONTH($E21))/$G21,0)*$G21)+$G21),EDATE($E21,MAX(0,ROUNDUP(((YEAR(I$3)-YEAR($E21))*12+MONTH(I$3)-MONTH($E21))/$G21,0)*$G21)))&gt;=I$3,IF(EDATE($E21,MAX(0,ROUNDUP(((YEAR(I$3)-YEAR($E21))*12+MONTH(I$3)-MONTH($E21))/$G21,0)*$G21))&lt;I$3,EDATE($E21,MAX(0,ROUNDUP(((YEAR(I$3)-YEAR($E21))*12+MONTH(I$3)-MONTH($E21))/$G21,0)*$G21)+$G21),EDATE($E21,MAX(0,ROUNDUP(((YEAR(I$3)-YEAR($E21))*12+MONTH(I$3)-MONTH($E21))/$G21,0)*$G21)))&lt;=IF($F21="",I$4,MIN(I$4,$F21))),1,0)))))</f>
        <v>0</v>
      </c>
      <c r="J21" s="25" t="n">
        <f aca="false">IF(OR($C21="",$C21=0,$E21="",$B21="",$G21=-2),0,$C21*IF($G21=0,IF(IF($F21="",J$4,MIN(J$4,$F21))&lt;$E21,0,MAX(0,INT((IF($F21="",J$4,MIN(J$4,$F21))-$E21)/7)+1-MAX(0,ROUNDUP((J$3-$E21)/7,0)))),IF($G21=101,(AND(EOMONTH(J$3,0)&gt;=MAX(J$3,$E21),EOMONTH(J$3,0)&lt;=IF($F21="",J$4,MIN(J$4,$F21)))*1+AND(EOMONTH(J$4,0)&lt;&gt;EOMONTH(J$3,0),EOMONTH(J$4,0)&gt;=MAX(J$3,$E21),EOMONTH(J$4,0)&lt;=IF($F21="",J$4,MIN(J$4,$F21)))*1),IF($G21=102,(AND(WORKDAY(EOMONTH(J$3,0)+1,-3)&gt;=MAX(J$3,$E21),WORKDAY(EOMONTH(J$3,0)+1,-3)&lt;=IF($F21="",J$4,MIN(J$4,$F21)))*1+AND(WORKDAY(EOMONTH(J$4,0)+1,-3)&lt;&gt;WORKDAY(EOMONTH(J$3,0)+1,-3),WORKDAY(EOMONTH(J$4,0)+1,-3)&gt;=MAX(J$3,$E21),WORKDAY(EOMONTH(J$4,0)+1,-3)&lt;=IF($F21="",J$4,MIN(J$4,$F21)))*1),IF(AND(IF(EDATE($E21,MAX(0,ROUNDUP(((YEAR(J$3)-YEAR($E21))*12+MONTH(J$3)-MONTH($E21))/$G21,0)*$G21))&lt;J$3,EDATE($E21,MAX(0,ROUNDUP(((YEAR(J$3)-YEAR($E21))*12+MONTH(J$3)-MONTH($E21))/$G21,0)*$G21)+$G21),EDATE($E21,MAX(0,ROUNDUP(((YEAR(J$3)-YEAR($E21))*12+MONTH(J$3)-MONTH($E21))/$G21,0)*$G21)))&gt;=J$3,IF(EDATE($E21,MAX(0,ROUNDUP(((YEAR(J$3)-YEAR($E21))*12+MONTH(J$3)-MONTH($E21))/$G21,0)*$G21))&lt;J$3,EDATE($E21,MAX(0,ROUNDUP(((YEAR(J$3)-YEAR($E21))*12+MONTH(J$3)-MONTH($E21))/$G21,0)*$G21)+$G21),EDATE($E21,MAX(0,ROUNDUP(((YEAR(J$3)-YEAR($E21))*12+MONTH(J$3)-MONTH($E21))/$G21,0)*$G21)))&lt;=IF($F21="",J$4,MIN(J$4,$F21))),1,0)))))</f>
        <v>0</v>
      </c>
      <c r="K21" s="25" t="n">
        <f aca="false">IF(OR($C21="",$C21=0,$E21="",$B21="",$G21=-2),0,$C21*IF($G21=0,IF(IF($F21="",K$4,MIN(K$4,$F21))&lt;$E21,0,MAX(0,INT((IF($F21="",K$4,MIN(K$4,$F21))-$E21)/7)+1-MAX(0,ROUNDUP((K$3-$E21)/7,0)))),IF($G21=101,(AND(EOMONTH(K$3,0)&gt;=MAX(K$3,$E21),EOMONTH(K$3,0)&lt;=IF($F21="",K$4,MIN(K$4,$F21)))*1+AND(EOMONTH(K$4,0)&lt;&gt;EOMONTH(K$3,0),EOMONTH(K$4,0)&gt;=MAX(K$3,$E21),EOMONTH(K$4,0)&lt;=IF($F21="",K$4,MIN(K$4,$F21)))*1),IF($G21=102,(AND(WORKDAY(EOMONTH(K$3,0)+1,-3)&gt;=MAX(K$3,$E21),WORKDAY(EOMONTH(K$3,0)+1,-3)&lt;=IF($F21="",K$4,MIN(K$4,$F21)))*1+AND(WORKDAY(EOMONTH(K$4,0)+1,-3)&lt;&gt;WORKDAY(EOMONTH(K$3,0)+1,-3),WORKDAY(EOMONTH(K$4,0)+1,-3)&gt;=MAX(K$3,$E21),WORKDAY(EOMONTH(K$4,0)+1,-3)&lt;=IF($F21="",K$4,MIN(K$4,$F21)))*1),IF(AND(IF(EDATE($E21,MAX(0,ROUNDUP(((YEAR(K$3)-YEAR($E21))*12+MONTH(K$3)-MONTH($E21))/$G21,0)*$G21))&lt;K$3,EDATE($E21,MAX(0,ROUNDUP(((YEAR(K$3)-YEAR($E21))*12+MONTH(K$3)-MONTH($E21))/$G21,0)*$G21)+$G21),EDATE($E21,MAX(0,ROUNDUP(((YEAR(K$3)-YEAR($E21))*12+MONTH(K$3)-MONTH($E21))/$G21,0)*$G21)))&gt;=K$3,IF(EDATE($E21,MAX(0,ROUNDUP(((YEAR(K$3)-YEAR($E21))*12+MONTH(K$3)-MONTH($E21))/$G21,0)*$G21))&lt;K$3,EDATE($E21,MAX(0,ROUNDUP(((YEAR(K$3)-YEAR($E21))*12+MONTH(K$3)-MONTH($E21))/$G21,0)*$G21)+$G21),EDATE($E21,MAX(0,ROUNDUP(((YEAR(K$3)-YEAR($E21))*12+MONTH(K$3)-MONTH($E21))/$G21,0)*$G21)))&lt;=IF($F21="",K$4,MIN(K$4,$F21))),1,0)))))</f>
        <v>0</v>
      </c>
      <c r="L21" s="25" t="n">
        <f aca="false">IF(OR($C21="",$C21=0,$E21="",$B21="",$G21=-2),0,$C21*IF($G21=0,IF(IF($F21="",L$4,MIN(L$4,$F21))&lt;$E21,0,MAX(0,INT((IF($F21="",L$4,MIN(L$4,$F21))-$E21)/7)+1-MAX(0,ROUNDUP((L$3-$E21)/7,0)))),IF($G21=101,(AND(EOMONTH(L$3,0)&gt;=MAX(L$3,$E21),EOMONTH(L$3,0)&lt;=IF($F21="",L$4,MIN(L$4,$F21)))*1+AND(EOMONTH(L$4,0)&lt;&gt;EOMONTH(L$3,0),EOMONTH(L$4,0)&gt;=MAX(L$3,$E21),EOMONTH(L$4,0)&lt;=IF($F21="",L$4,MIN(L$4,$F21)))*1),IF($G21=102,(AND(WORKDAY(EOMONTH(L$3,0)+1,-3)&gt;=MAX(L$3,$E21),WORKDAY(EOMONTH(L$3,0)+1,-3)&lt;=IF($F21="",L$4,MIN(L$4,$F21)))*1+AND(WORKDAY(EOMONTH(L$4,0)+1,-3)&lt;&gt;WORKDAY(EOMONTH(L$3,0)+1,-3),WORKDAY(EOMONTH(L$4,0)+1,-3)&gt;=MAX(L$3,$E21),WORKDAY(EOMONTH(L$4,0)+1,-3)&lt;=IF($F21="",L$4,MIN(L$4,$F21)))*1),IF(AND(IF(EDATE($E21,MAX(0,ROUNDUP(((YEAR(L$3)-YEAR($E21))*12+MONTH(L$3)-MONTH($E21))/$G21,0)*$G21))&lt;L$3,EDATE($E21,MAX(0,ROUNDUP(((YEAR(L$3)-YEAR($E21))*12+MONTH(L$3)-MONTH($E21))/$G21,0)*$G21)+$G21),EDATE($E21,MAX(0,ROUNDUP(((YEAR(L$3)-YEAR($E21))*12+MONTH(L$3)-MONTH($E21))/$G21,0)*$G21)))&gt;=L$3,IF(EDATE($E21,MAX(0,ROUNDUP(((YEAR(L$3)-YEAR($E21))*12+MONTH(L$3)-MONTH($E21))/$G21,0)*$G21))&lt;L$3,EDATE($E21,MAX(0,ROUNDUP(((YEAR(L$3)-YEAR($E21))*12+MONTH(L$3)-MONTH($E21))/$G21,0)*$G21)+$G21),EDATE($E21,MAX(0,ROUNDUP(((YEAR(L$3)-YEAR($E21))*12+MONTH(L$3)-MONTH($E21))/$G21,0)*$G21)))&lt;=IF($F21="",L$4,MIN(L$4,$F21))),1,0)))))</f>
        <v>0</v>
      </c>
      <c r="M21" s="25" t="n">
        <f aca="false">IF(OR($C21="",$C21=0,$E21="",$B21="",$G21=-2),0,$C21*IF($G21=0,IF(IF($F21="",M$4,MIN(M$4,$F21))&lt;$E21,0,MAX(0,INT((IF($F21="",M$4,MIN(M$4,$F21))-$E21)/7)+1-MAX(0,ROUNDUP((M$3-$E21)/7,0)))),IF($G21=101,(AND(EOMONTH(M$3,0)&gt;=MAX(M$3,$E21),EOMONTH(M$3,0)&lt;=IF($F21="",M$4,MIN(M$4,$F21)))*1+AND(EOMONTH(M$4,0)&lt;&gt;EOMONTH(M$3,0),EOMONTH(M$4,0)&gt;=MAX(M$3,$E21),EOMONTH(M$4,0)&lt;=IF($F21="",M$4,MIN(M$4,$F21)))*1),IF($G21=102,(AND(WORKDAY(EOMONTH(M$3,0)+1,-3)&gt;=MAX(M$3,$E21),WORKDAY(EOMONTH(M$3,0)+1,-3)&lt;=IF($F21="",M$4,MIN(M$4,$F21)))*1+AND(WORKDAY(EOMONTH(M$4,0)+1,-3)&lt;&gt;WORKDAY(EOMONTH(M$3,0)+1,-3),WORKDAY(EOMONTH(M$4,0)+1,-3)&gt;=MAX(M$3,$E21),WORKDAY(EOMONTH(M$4,0)+1,-3)&lt;=IF($F21="",M$4,MIN(M$4,$F21)))*1),IF(AND(IF(EDATE($E21,MAX(0,ROUNDUP(((YEAR(M$3)-YEAR($E21))*12+MONTH(M$3)-MONTH($E21))/$G21,0)*$G21))&lt;M$3,EDATE($E21,MAX(0,ROUNDUP(((YEAR(M$3)-YEAR($E21))*12+MONTH(M$3)-MONTH($E21))/$G21,0)*$G21)+$G21),EDATE($E21,MAX(0,ROUNDUP(((YEAR(M$3)-YEAR($E21))*12+MONTH(M$3)-MONTH($E21))/$G21,0)*$G21)))&gt;=M$3,IF(EDATE($E21,MAX(0,ROUNDUP(((YEAR(M$3)-YEAR($E21))*12+MONTH(M$3)-MONTH($E21))/$G21,0)*$G21))&lt;M$3,EDATE($E21,MAX(0,ROUNDUP(((YEAR(M$3)-YEAR($E21))*12+MONTH(M$3)-MONTH($E21))/$G21,0)*$G21)+$G21),EDATE($E21,MAX(0,ROUNDUP(((YEAR(M$3)-YEAR($E21))*12+MONTH(M$3)-MONTH($E21))/$G21,0)*$G21)))&lt;=IF($F21="",M$4,MIN(M$4,$F21))),1,0)))))</f>
        <v>0</v>
      </c>
      <c r="N21" s="25" t="n">
        <f aca="false">IF(OR($C21="",$C21=0,$E21="",$B21="",$G21=-2),0,$C21*IF($G21=0,IF(IF($F21="",N$4,MIN(N$4,$F21))&lt;$E21,0,MAX(0,INT((IF($F21="",N$4,MIN(N$4,$F21))-$E21)/7)+1-MAX(0,ROUNDUP((N$3-$E21)/7,0)))),IF($G21=101,(AND(EOMONTH(N$3,0)&gt;=MAX(N$3,$E21),EOMONTH(N$3,0)&lt;=IF($F21="",N$4,MIN(N$4,$F21)))*1+AND(EOMONTH(N$4,0)&lt;&gt;EOMONTH(N$3,0),EOMONTH(N$4,0)&gt;=MAX(N$3,$E21),EOMONTH(N$4,0)&lt;=IF($F21="",N$4,MIN(N$4,$F21)))*1),IF($G21=102,(AND(WORKDAY(EOMONTH(N$3,0)+1,-3)&gt;=MAX(N$3,$E21),WORKDAY(EOMONTH(N$3,0)+1,-3)&lt;=IF($F21="",N$4,MIN(N$4,$F21)))*1+AND(WORKDAY(EOMONTH(N$4,0)+1,-3)&lt;&gt;WORKDAY(EOMONTH(N$3,0)+1,-3),WORKDAY(EOMONTH(N$4,0)+1,-3)&gt;=MAX(N$3,$E21),WORKDAY(EOMONTH(N$4,0)+1,-3)&lt;=IF($F21="",N$4,MIN(N$4,$F21)))*1),IF(AND(IF(EDATE($E21,MAX(0,ROUNDUP(((YEAR(N$3)-YEAR($E21))*12+MONTH(N$3)-MONTH($E21))/$G21,0)*$G21))&lt;N$3,EDATE($E21,MAX(0,ROUNDUP(((YEAR(N$3)-YEAR($E21))*12+MONTH(N$3)-MONTH($E21))/$G21,0)*$G21)+$G21),EDATE($E21,MAX(0,ROUNDUP(((YEAR(N$3)-YEAR($E21))*12+MONTH(N$3)-MONTH($E21))/$G21,0)*$G21)))&gt;=N$3,IF(EDATE($E21,MAX(0,ROUNDUP(((YEAR(N$3)-YEAR($E21))*12+MONTH(N$3)-MONTH($E21))/$G21,0)*$G21))&lt;N$3,EDATE($E21,MAX(0,ROUNDUP(((YEAR(N$3)-YEAR($E21))*12+MONTH(N$3)-MONTH($E21))/$G21,0)*$G21)+$G21),EDATE($E21,MAX(0,ROUNDUP(((YEAR(N$3)-YEAR($E21))*12+MONTH(N$3)-MONTH($E21))/$G21,0)*$G21)))&lt;=IF($F21="",N$4,MIN(N$4,$F21))),1,0)))))</f>
        <v>0</v>
      </c>
      <c r="O21" s="25" t="n">
        <f aca="false">IF(OR($C21="",$C21=0,$E21="",$B21="",$G21=-2),0,$C21*IF($G21=0,IF(IF($F21="",O$4,MIN(O$4,$F21))&lt;$E21,0,MAX(0,INT((IF($F21="",O$4,MIN(O$4,$F21))-$E21)/7)+1-MAX(0,ROUNDUP((O$3-$E21)/7,0)))),IF($G21=101,(AND(EOMONTH(O$3,0)&gt;=MAX(O$3,$E21),EOMONTH(O$3,0)&lt;=IF($F21="",O$4,MIN(O$4,$F21)))*1+AND(EOMONTH(O$4,0)&lt;&gt;EOMONTH(O$3,0),EOMONTH(O$4,0)&gt;=MAX(O$3,$E21),EOMONTH(O$4,0)&lt;=IF($F21="",O$4,MIN(O$4,$F21)))*1),IF($G21=102,(AND(WORKDAY(EOMONTH(O$3,0)+1,-3)&gt;=MAX(O$3,$E21),WORKDAY(EOMONTH(O$3,0)+1,-3)&lt;=IF($F21="",O$4,MIN(O$4,$F21)))*1+AND(WORKDAY(EOMONTH(O$4,0)+1,-3)&lt;&gt;WORKDAY(EOMONTH(O$3,0)+1,-3),WORKDAY(EOMONTH(O$4,0)+1,-3)&gt;=MAX(O$3,$E21),WORKDAY(EOMONTH(O$4,0)+1,-3)&lt;=IF($F21="",O$4,MIN(O$4,$F21)))*1),IF(AND(IF(EDATE($E21,MAX(0,ROUNDUP(((YEAR(O$3)-YEAR($E21))*12+MONTH(O$3)-MONTH($E21))/$G21,0)*$G21))&lt;O$3,EDATE($E21,MAX(0,ROUNDUP(((YEAR(O$3)-YEAR($E21))*12+MONTH(O$3)-MONTH($E21))/$G21,0)*$G21)+$G21),EDATE($E21,MAX(0,ROUNDUP(((YEAR(O$3)-YEAR($E21))*12+MONTH(O$3)-MONTH($E21))/$G21,0)*$G21)))&gt;=O$3,IF(EDATE($E21,MAX(0,ROUNDUP(((YEAR(O$3)-YEAR($E21))*12+MONTH(O$3)-MONTH($E21))/$G21,0)*$G21))&lt;O$3,EDATE($E21,MAX(0,ROUNDUP(((YEAR(O$3)-YEAR($E21))*12+MONTH(O$3)-MONTH($E21))/$G21,0)*$G21)+$G21),EDATE($E21,MAX(0,ROUNDUP(((YEAR(O$3)-YEAR($E21))*12+MONTH(O$3)-MONTH($E21))/$G21,0)*$G21)))&lt;=IF($F21="",O$4,MIN(O$4,$F21))),1,0)))))</f>
        <v>0</v>
      </c>
      <c r="P21" s="25" t="n">
        <f aca="false">IF(OR($C21="",$C21=0,$E21="",$B21="",$G21=-2),0,$C21*IF($G21=0,IF(IF($F21="",P$4,MIN(P$4,$F21))&lt;$E21,0,MAX(0,INT((IF($F21="",P$4,MIN(P$4,$F21))-$E21)/7)+1-MAX(0,ROUNDUP((P$3-$E21)/7,0)))),IF($G21=101,(AND(EOMONTH(P$3,0)&gt;=MAX(P$3,$E21),EOMONTH(P$3,0)&lt;=IF($F21="",P$4,MIN(P$4,$F21)))*1+AND(EOMONTH(P$4,0)&lt;&gt;EOMONTH(P$3,0),EOMONTH(P$4,0)&gt;=MAX(P$3,$E21),EOMONTH(P$4,0)&lt;=IF($F21="",P$4,MIN(P$4,$F21)))*1),IF($G21=102,(AND(WORKDAY(EOMONTH(P$3,0)+1,-3)&gt;=MAX(P$3,$E21),WORKDAY(EOMONTH(P$3,0)+1,-3)&lt;=IF($F21="",P$4,MIN(P$4,$F21)))*1+AND(WORKDAY(EOMONTH(P$4,0)+1,-3)&lt;&gt;WORKDAY(EOMONTH(P$3,0)+1,-3),WORKDAY(EOMONTH(P$4,0)+1,-3)&gt;=MAX(P$3,$E21),WORKDAY(EOMONTH(P$4,0)+1,-3)&lt;=IF($F21="",P$4,MIN(P$4,$F21)))*1),IF(AND(IF(EDATE($E21,MAX(0,ROUNDUP(((YEAR(P$3)-YEAR($E21))*12+MONTH(P$3)-MONTH($E21))/$G21,0)*$G21))&lt;P$3,EDATE($E21,MAX(0,ROUNDUP(((YEAR(P$3)-YEAR($E21))*12+MONTH(P$3)-MONTH($E21))/$G21,0)*$G21)+$G21),EDATE($E21,MAX(0,ROUNDUP(((YEAR(P$3)-YEAR($E21))*12+MONTH(P$3)-MONTH($E21))/$G21,0)*$G21)))&gt;=P$3,IF(EDATE($E21,MAX(0,ROUNDUP(((YEAR(P$3)-YEAR($E21))*12+MONTH(P$3)-MONTH($E21))/$G21,0)*$G21))&lt;P$3,EDATE($E21,MAX(0,ROUNDUP(((YEAR(P$3)-YEAR($E21))*12+MONTH(P$3)-MONTH($E21))/$G21,0)*$G21)+$G21),EDATE($E21,MAX(0,ROUNDUP(((YEAR(P$3)-YEAR($E21))*12+MONTH(P$3)-MONTH($E21))/$G21,0)*$G21)))&lt;=IF($F21="",P$4,MIN(P$4,$F21))),1,0)))))</f>
        <v>0</v>
      </c>
      <c r="Q21" s="25" t="n">
        <f aca="false">IF(OR($C21="",$C21=0,$E21="",$B21="",$G21=-2),0,$C21*IF($G21=0,IF(IF($F21="",Q$4,MIN(Q$4,$F21))&lt;$E21,0,MAX(0,INT((IF($F21="",Q$4,MIN(Q$4,$F21))-$E21)/7)+1-MAX(0,ROUNDUP((Q$3-$E21)/7,0)))),IF($G21=101,(AND(EOMONTH(Q$3,0)&gt;=MAX(Q$3,$E21),EOMONTH(Q$3,0)&lt;=IF($F21="",Q$4,MIN(Q$4,$F21)))*1+AND(EOMONTH(Q$4,0)&lt;&gt;EOMONTH(Q$3,0),EOMONTH(Q$4,0)&gt;=MAX(Q$3,$E21),EOMONTH(Q$4,0)&lt;=IF($F21="",Q$4,MIN(Q$4,$F21)))*1),IF($G21=102,(AND(WORKDAY(EOMONTH(Q$3,0)+1,-3)&gt;=MAX(Q$3,$E21),WORKDAY(EOMONTH(Q$3,0)+1,-3)&lt;=IF($F21="",Q$4,MIN(Q$4,$F21)))*1+AND(WORKDAY(EOMONTH(Q$4,0)+1,-3)&lt;&gt;WORKDAY(EOMONTH(Q$3,0)+1,-3),WORKDAY(EOMONTH(Q$4,0)+1,-3)&gt;=MAX(Q$3,$E21),WORKDAY(EOMONTH(Q$4,0)+1,-3)&lt;=IF($F21="",Q$4,MIN(Q$4,$F21)))*1),IF(AND(IF(EDATE($E21,MAX(0,ROUNDUP(((YEAR(Q$3)-YEAR($E21))*12+MONTH(Q$3)-MONTH($E21))/$G21,0)*$G21))&lt;Q$3,EDATE($E21,MAX(0,ROUNDUP(((YEAR(Q$3)-YEAR($E21))*12+MONTH(Q$3)-MONTH($E21))/$G21,0)*$G21)+$G21),EDATE($E21,MAX(0,ROUNDUP(((YEAR(Q$3)-YEAR($E21))*12+MONTH(Q$3)-MONTH($E21))/$G21,0)*$G21)))&gt;=Q$3,IF(EDATE($E21,MAX(0,ROUNDUP(((YEAR(Q$3)-YEAR($E21))*12+MONTH(Q$3)-MONTH($E21))/$G21,0)*$G21))&lt;Q$3,EDATE($E21,MAX(0,ROUNDUP(((YEAR(Q$3)-YEAR($E21))*12+MONTH(Q$3)-MONTH($E21))/$G21,0)*$G21)+$G21),EDATE($E21,MAX(0,ROUNDUP(((YEAR(Q$3)-YEAR($E21))*12+MONTH(Q$3)-MONTH($E21))/$G21,0)*$G21)))&lt;=IF($F21="",Q$4,MIN(Q$4,$F21))),1,0)))))</f>
        <v>0</v>
      </c>
      <c r="R21" s="25" t="n">
        <f aca="false">IF(OR($C21="",$C21=0,$E21="",$B21="",$G21=-2),0,$C21*IF($G21=0,IF(IF($F21="",R$4,MIN(R$4,$F21))&lt;$E21,0,MAX(0,INT((IF($F21="",R$4,MIN(R$4,$F21))-$E21)/7)+1-MAX(0,ROUNDUP((R$3-$E21)/7,0)))),IF($G21=101,(AND(EOMONTH(R$3,0)&gt;=MAX(R$3,$E21),EOMONTH(R$3,0)&lt;=IF($F21="",R$4,MIN(R$4,$F21)))*1+AND(EOMONTH(R$4,0)&lt;&gt;EOMONTH(R$3,0),EOMONTH(R$4,0)&gt;=MAX(R$3,$E21),EOMONTH(R$4,0)&lt;=IF($F21="",R$4,MIN(R$4,$F21)))*1),IF($G21=102,(AND(WORKDAY(EOMONTH(R$3,0)+1,-3)&gt;=MAX(R$3,$E21),WORKDAY(EOMONTH(R$3,0)+1,-3)&lt;=IF($F21="",R$4,MIN(R$4,$F21)))*1+AND(WORKDAY(EOMONTH(R$4,0)+1,-3)&lt;&gt;WORKDAY(EOMONTH(R$3,0)+1,-3),WORKDAY(EOMONTH(R$4,0)+1,-3)&gt;=MAX(R$3,$E21),WORKDAY(EOMONTH(R$4,0)+1,-3)&lt;=IF($F21="",R$4,MIN(R$4,$F21)))*1),IF(AND(IF(EDATE($E21,MAX(0,ROUNDUP(((YEAR(R$3)-YEAR($E21))*12+MONTH(R$3)-MONTH($E21))/$G21,0)*$G21))&lt;R$3,EDATE($E21,MAX(0,ROUNDUP(((YEAR(R$3)-YEAR($E21))*12+MONTH(R$3)-MONTH($E21))/$G21,0)*$G21)+$G21),EDATE($E21,MAX(0,ROUNDUP(((YEAR(R$3)-YEAR($E21))*12+MONTH(R$3)-MONTH($E21))/$G21,0)*$G21)))&gt;=R$3,IF(EDATE($E21,MAX(0,ROUNDUP(((YEAR(R$3)-YEAR($E21))*12+MONTH(R$3)-MONTH($E21))/$G21,0)*$G21))&lt;R$3,EDATE($E21,MAX(0,ROUNDUP(((YEAR(R$3)-YEAR($E21))*12+MONTH(R$3)-MONTH($E21))/$G21,0)*$G21)+$G21),EDATE($E21,MAX(0,ROUNDUP(((YEAR(R$3)-YEAR($E21))*12+MONTH(R$3)-MONTH($E21))/$G21,0)*$G21)))&lt;=IF($F21="",R$4,MIN(R$4,$F21))),1,0)))))</f>
        <v>0</v>
      </c>
      <c r="S21" s="25" t="n">
        <f aca="false">IF(OR($C21="",$C21=0,$E21="",$B21="",$G21=-2),0,$C21*IF($G21=0,IF(IF($F21="",S$4,MIN(S$4,$F21))&lt;$E21,0,MAX(0,INT((IF($F21="",S$4,MIN(S$4,$F21))-$E21)/7)+1-MAX(0,ROUNDUP((S$3-$E21)/7,0)))),IF($G21=101,(AND(EOMONTH(S$3,0)&gt;=MAX(S$3,$E21),EOMONTH(S$3,0)&lt;=IF($F21="",S$4,MIN(S$4,$F21)))*1+AND(EOMONTH(S$4,0)&lt;&gt;EOMONTH(S$3,0),EOMONTH(S$4,0)&gt;=MAX(S$3,$E21),EOMONTH(S$4,0)&lt;=IF($F21="",S$4,MIN(S$4,$F21)))*1),IF($G21=102,(AND(WORKDAY(EOMONTH(S$3,0)+1,-3)&gt;=MAX(S$3,$E21),WORKDAY(EOMONTH(S$3,0)+1,-3)&lt;=IF($F21="",S$4,MIN(S$4,$F21)))*1+AND(WORKDAY(EOMONTH(S$4,0)+1,-3)&lt;&gt;WORKDAY(EOMONTH(S$3,0)+1,-3),WORKDAY(EOMONTH(S$4,0)+1,-3)&gt;=MAX(S$3,$E21),WORKDAY(EOMONTH(S$4,0)+1,-3)&lt;=IF($F21="",S$4,MIN(S$4,$F21)))*1),IF(AND(IF(EDATE($E21,MAX(0,ROUNDUP(((YEAR(S$3)-YEAR($E21))*12+MONTH(S$3)-MONTH($E21))/$G21,0)*$G21))&lt;S$3,EDATE($E21,MAX(0,ROUNDUP(((YEAR(S$3)-YEAR($E21))*12+MONTH(S$3)-MONTH($E21))/$G21,0)*$G21)+$G21),EDATE($E21,MAX(0,ROUNDUP(((YEAR(S$3)-YEAR($E21))*12+MONTH(S$3)-MONTH($E21))/$G21,0)*$G21)))&gt;=S$3,IF(EDATE($E21,MAX(0,ROUNDUP(((YEAR(S$3)-YEAR($E21))*12+MONTH(S$3)-MONTH($E21))/$G21,0)*$G21))&lt;S$3,EDATE($E21,MAX(0,ROUNDUP(((YEAR(S$3)-YEAR($E21))*12+MONTH(S$3)-MONTH($E21))/$G21,0)*$G21)+$G21),EDATE($E21,MAX(0,ROUNDUP(((YEAR(S$3)-YEAR($E21))*12+MONTH(S$3)-MONTH($E21))/$G21,0)*$G21)))&lt;=IF($F21="",S$4,MIN(S$4,$F21))),1,0)))))</f>
        <v>0</v>
      </c>
      <c r="T21" s="25" t="n">
        <f aca="false">IF(OR($C21="",$C21=0,$E21="",$B21="",$G21=-2),0,$C21*IF($G21=0,IF(IF($F21="",T$4,MIN(T$4,$F21))&lt;$E21,0,MAX(0,INT((IF($F21="",T$4,MIN(T$4,$F21))-$E21)/7)+1-MAX(0,ROUNDUP((T$3-$E21)/7,0)))),IF($G21=101,(AND(EOMONTH(T$3,0)&gt;=MAX(T$3,$E21),EOMONTH(T$3,0)&lt;=IF($F21="",T$4,MIN(T$4,$F21)))*1+AND(EOMONTH(T$4,0)&lt;&gt;EOMONTH(T$3,0),EOMONTH(T$4,0)&gt;=MAX(T$3,$E21),EOMONTH(T$4,0)&lt;=IF($F21="",T$4,MIN(T$4,$F21)))*1),IF($G21=102,(AND(WORKDAY(EOMONTH(T$3,0)+1,-3)&gt;=MAX(T$3,$E21),WORKDAY(EOMONTH(T$3,0)+1,-3)&lt;=IF($F21="",T$4,MIN(T$4,$F21)))*1+AND(WORKDAY(EOMONTH(T$4,0)+1,-3)&lt;&gt;WORKDAY(EOMONTH(T$3,0)+1,-3),WORKDAY(EOMONTH(T$4,0)+1,-3)&gt;=MAX(T$3,$E21),WORKDAY(EOMONTH(T$4,0)+1,-3)&lt;=IF($F21="",T$4,MIN(T$4,$F21)))*1),IF(AND(IF(EDATE($E21,MAX(0,ROUNDUP(((YEAR(T$3)-YEAR($E21))*12+MONTH(T$3)-MONTH($E21))/$G21,0)*$G21))&lt;T$3,EDATE($E21,MAX(0,ROUNDUP(((YEAR(T$3)-YEAR($E21))*12+MONTH(T$3)-MONTH($E21))/$G21,0)*$G21)+$G21),EDATE($E21,MAX(0,ROUNDUP(((YEAR(T$3)-YEAR($E21))*12+MONTH(T$3)-MONTH($E21))/$G21,0)*$G21)))&gt;=T$3,IF(EDATE($E21,MAX(0,ROUNDUP(((YEAR(T$3)-YEAR($E21))*12+MONTH(T$3)-MONTH($E21))/$G21,0)*$G21))&lt;T$3,EDATE($E21,MAX(0,ROUNDUP(((YEAR(T$3)-YEAR($E21))*12+MONTH(T$3)-MONTH($E21))/$G21,0)*$G21)+$G21),EDATE($E21,MAX(0,ROUNDUP(((YEAR(T$3)-YEAR($E21))*12+MONTH(T$3)-MONTH($E21))/$G21,0)*$G21)))&lt;=IF($F21="",T$4,MIN(T$4,$F21))),1,0)))))</f>
        <v>0</v>
      </c>
      <c r="U21" s="25" t="n">
        <f aca="false">IF(OR($C21="",$C21=0,$E21="",$B21="",$G21=-2),0,$C21*IF($G21=0,IF(IF($F21="",U$4,MIN(U$4,$F21))&lt;$E21,0,MAX(0,INT((IF($F21="",U$4,MIN(U$4,$F21))-$E21)/7)+1-MAX(0,ROUNDUP((U$3-$E21)/7,0)))),IF($G21=101,(AND(EOMONTH(U$3,0)&gt;=MAX(U$3,$E21),EOMONTH(U$3,0)&lt;=IF($F21="",U$4,MIN(U$4,$F21)))*1+AND(EOMONTH(U$4,0)&lt;&gt;EOMONTH(U$3,0),EOMONTH(U$4,0)&gt;=MAX(U$3,$E21),EOMONTH(U$4,0)&lt;=IF($F21="",U$4,MIN(U$4,$F21)))*1),IF($G21=102,(AND(WORKDAY(EOMONTH(U$3,0)+1,-3)&gt;=MAX(U$3,$E21),WORKDAY(EOMONTH(U$3,0)+1,-3)&lt;=IF($F21="",U$4,MIN(U$4,$F21)))*1+AND(WORKDAY(EOMONTH(U$4,0)+1,-3)&lt;&gt;WORKDAY(EOMONTH(U$3,0)+1,-3),WORKDAY(EOMONTH(U$4,0)+1,-3)&gt;=MAX(U$3,$E21),WORKDAY(EOMONTH(U$4,0)+1,-3)&lt;=IF($F21="",U$4,MIN(U$4,$F21)))*1),IF(AND(IF(EDATE($E21,MAX(0,ROUNDUP(((YEAR(U$3)-YEAR($E21))*12+MONTH(U$3)-MONTH($E21))/$G21,0)*$G21))&lt;U$3,EDATE($E21,MAX(0,ROUNDUP(((YEAR(U$3)-YEAR($E21))*12+MONTH(U$3)-MONTH($E21))/$G21,0)*$G21)+$G21),EDATE($E21,MAX(0,ROUNDUP(((YEAR(U$3)-YEAR($E21))*12+MONTH(U$3)-MONTH($E21))/$G21,0)*$G21)))&gt;=U$3,IF(EDATE($E21,MAX(0,ROUNDUP(((YEAR(U$3)-YEAR($E21))*12+MONTH(U$3)-MONTH($E21))/$G21,0)*$G21))&lt;U$3,EDATE($E21,MAX(0,ROUNDUP(((YEAR(U$3)-YEAR($E21))*12+MONTH(U$3)-MONTH($E21))/$G21,0)*$G21)+$G21),EDATE($E21,MAX(0,ROUNDUP(((YEAR(U$3)-YEAR($E21))*12+MONTH(U$3)-MONTH($E21))/$G21,0)*$G21)))&lt;=IF($F21="",U$4,MIN(U$4,$F21))),1,0)))))</f>
        <v>0</v>
      </c>
      <c r="V21" s="25" t="n">
        <f aca="false">IF(OR($C21="",$C21=0,$E21="",$B21="",$G21=-2),0,$C21*IF($G21=0,IF(IF($F21="",V$4,MIN(V$4,$F21))&lt;$E21,0,MAX(0,INT((IF($F21="",V$4,MIN(V$4,$F21))-$E21)/7)+1-MAX(0,ROUNDUP((V$3-$E21)/7,0)))),IF($G21=101,(AND(EOMONTH(V$3,0)&gt;=MAX(V$3,$E21),EOMONTH(V$3,0)&lt;=IF($F21="",V$4,MIN(V$4,$F21)))*1+AND(EOMONTH(V$4,0)&lt;&gt;EOMONTH(V$3,0),EOMONTH(V$4,0)&gt;=MAX(V$3,$E21),EOMONTH(V$4,0)&lt;=IF($F21="",V$4,MIN(V$4,$F21)))*1),IF($G21=102,(AND(WORKDAY(EOMONTH(V$3,0)+1,-3)&gt;=MAX(V$3,$E21),WORKDAY(EOMONTH(V$3,0)+1,-3)&lt;=IF($F21="",V$4,MIN(V$4,$F21)))*1+AND(WORKDAY(EOMONTH(V$4,0)+1,-3)&lt;&gt;WORKDAY(EOMONTH(V$3,0)+1,-3),WORKDAY(EOMONTH(V$4,0)+1,-3)&gt;=MAX(V$3,$E21),WORKDAY(EOMONTH(V$4,0)+1,-3)&lt;=IF($F21="",V$4,MIN(V$4,$F21)))*1),IF(AND(IF(EDATE($E21,MAX(0,ROUNDUP(((YEAR(V$3)-YEAR($E21))*12+MONTH(V$3)-MONTH($E21))/$G21,0)*$G21))&lt;V$3,EDATE($E21,MAX(0,ROUNDUP(((YEAR(V$3)-YEAR($E21))*12+MONTH(V$3)-MONTH($E21))/$G21,0)*$G21)+$G21),EDATE($E21,MAX(0,ROUNDUP(((YEAR(V$3)-YEAR($E21))*12+MONTH(V$3)-MONTH($E21))/$G21,0)*$G21)))&gt;=V$3,IF(EDATE($E21,MAX(0,ROUNDUP(((YEAR(V$3)-YEAR($E21))*12+MONTH(V$3)-MONTH($E21))/$G21,0)*$G21))&lt;V$3,EDATE($E21,MAX(0,ROUNDUP(((YEAR(V$3)-YEAR($E21))*12+MONTH(V$3)-MONTH($E21))/$G21,0)*$G21)+$G21),EDATE($E21,MAX(0,ROUNDUP(((YEAR(V$3)-YEAR($E21))*12+MONTH(V$3)-MONTH($E21))/$G21,0)*$G21)))&lt;=IF($F21="",V$4,MIN(V$4,$F21))),1,0)))))</f>
        <v>0</v>
      </c>
      <c r="W21" s="25" t="n">
        <f aca="false">IF(OR($C21="",$C21=0,$E21="",$B21="",$G21=-2),0,$C21*IF($G21=0,IF(IF($F21="",W$4,MIN(W$4,$F21))&lt;$E21,0,MAX(0,INT((IF($F21="",W$4,MIN(W$4,$F21))-$E21)/7)+1-MAX(0,ROUNDUP((W$3-$E21)/7,0)))),IF($G21=101,(AND(EOMONTH(W$3,0)&gt;=MAX(W$3,$E21),EOMONTH(W$3,0)&lt;=IF($F21="",W$4,MIN(W$4,$F21)))*1+AND(EOMONTH(W$4,0)&lt;&gt;EOMONTH(W$3,0),EOMONTH(W$4,0)&gt;=MAX(W$3,$E21),EOMONTH(W$4,0)&lt;=IF($F21="",W$4,MIN(W$4,$F21)))*1),IF($G21=102,(AND(WORKDAY(EOMONTH(W$3,0)+1,-3)&gt;=MAX(W$3,$E21),WORKDAY(EOMONTH(W$3,0)+1,-3)&lt;=IF($F21="",W$4,MIN(W$4,$F21)))*1+AND(WORKDAY(EOMONTH(W$4,0)+1,-3)&lt;&gt;WORKDAY(EOMONTH(W$3,0)+1,-3),WORKDAY(EOMONTH(W$4,0)+1,-3)&gt;=MAX(W$3,$E21),WORKDAY(EOMONTH(W$4,0)+1,-3)&lt;=IF($F21="",W$4,MIN(W$4,$F21)))*1),IF(AND(IF(EDATE($E21,MAX(0,ROUNDUP(((YEAR(W$3)-YEAR($E21))*12+MONTH(W$3)-MONTH($E21))/$G21,0)*$G21))&lt;W$3,EDATE($E21,MAX(0,ROUNDUP(((YEAR(W$3)-YEAR($E21))*12+MONTH(W$3)-MONTH($E21))/$G21,0)*$G21)+$G21),EDATE($E21,MAX(0,ROUNDUP(((YEAR(W$3)-YEAR($E21))*12+MONTH(W$3)-MONTH($E21))/$G21,0)*$G21)))&gt;=W$3,IF(EDATE($E21,MAX(0,ROUNDUP(((YEAR(W$3)-YEAR($E21))*12+MONTH(W$3)-MONTH($E21))/$G21,0)*$G21))&lt;W$3,EDATE($E21,MAX(0,ROUNDUP(((YEAR(W$3)-YEAR($E21))*12+MONTH(W$3)-MONTH($E21))/$G21,0)*$G21)+$G21),EDATE($E21,MAX(0,ROUNDUP(((YEAR(W$3)-YEAR($E21))*12+MONTH(W$3)-MONTH($E21))/$G21,0)*$G21)))&lt;=IF($F21="",W$4,MIN(W$4,$F21))),1,0)))))</f>
        <v>0</v>
      </c>
      <c r="X21" s="25" t="n">
        <f aca="false">IF(OR($C21="",$C21=0,$E21="",$B21="",$G21=-2),0,$C21*IF($G21=0,IF(IF($F21="",X$4,MIN(X$4,$F21))&lt;$E21,0,MAX(0,INT((IF($F21="",X$4,MIN(X$4,$F21))-$E21)/7)+1-MAX(0,ROUNDUP((X$3-$E21)/7,0)))),IF($G21=101,(AND(EOMONTH(X$3,0)&gt;=MAX(X$3,$E21),EOMONTH(X$3,0)&lt;=IF($F21="",X$4,MIN(X$4,$F21)))*1+AND(EOMONTH(X$4,0)&lt;&gt;EOMONTH(X$3,0),EOMONTH(X$4,0)&gt;=MAX(X$3,$E21),EOMONTH(X$4,0)&lt;=IF($F21="",X$4,MIN(X$4,$F21)))*1),IF($G21=102,(AND(WORKDAY(EOMONTH(X$3,0)+1,-3)&gt;=MAX(X$3,$E21),WORKDAY(EOMONTH(X$3,0)+1,-3)&lt;=IF($F21="",X$4,MIN(X$4,$F21)))*1+AND(WORKDAY(EOMONTH(X$4,0)+1,-3)&lt;&gt;WORKDAY(EOMONTH(X$3,0)+1,-3),WORKDAY(EOMONTH(X$4,0)+1,-3)&gt;=MAX(X$3,$E21),WORKDAY(EOMONTH(X$4,0)+1,-3)&lt;=IF($F21="",X$4,MIN(X$4,$F21)))*1),IF(AND(IF(EDATE($E21,MAX(0,ROUNDUP(((YEAR(X$3)-YEAR($E21))*12+MONTH(X$3)-MONTH($E21))/$G21,0)*$G21))&lt;X$3,EDATE($E21,MAX(0,ROUNDUP(((YEAR(X$3)-YEAR($E21))*12+MONTH(X$3)-MONTH($E21))/$G21,0)*$G21)+$G21),EDATE($E21,MAX(0,ROUNDUP(((YEAR(X$3)-YEAR($E21))*12+MONTH(X$3)-MONTH($E21))/$G21,0)*$G21)))&gt;=X$3,IF(EDATE($E21,MAX(0,ROUNDUP(((YEAR(X$3)-YEAR($E21))*12+MONTH(X$3)-MONTH($E21))/$G21,0)*$G21))&lt;X$3,EDATE($E21,MAX(0,ROUNDUP(((YEAR(X$3)-YEAR($E21))*12+MONTH(X$3)-MONTH($E21))/$G21,0)*$G21)+$G21),EDATE($E21,MAX(0,ROUNDUP(((YEAR(X$3)-YEAR($E21))*12+MONTH(X$3)-MONTH($E21))/$G21,0)*$G21)))&lt;=IF($F21="",X$4,MIN(X$4,$F21))),1,0)))))</f>
        <v>0</v>
      </c>
      <c r="Y21" s="25" t="n">
        <f aca="false">IF(OR($C21="",$C21=0,$E21="",$B21="",$G21=-2),0,$C21*IF($G21=0,IF(IF($F21="",Y$4,MIN(Y$4,$F21))&lt;$E21,0,MAX(0,INT((IF($F21="",Y$4,MIN(Y$4,$F21))-$E21)/7)+1-MAX(0,ROUNDUP((Y$3-$E21)/7,0)))),IF($G21=101,(AND(EOMONTH(Y$3,0)&gt;=MAX(Y$3,$E21),EOMONTH(Y$3,0)&lt;=IF($F21="",Y$4,MIN(Y$4,$F21)))*1+AND(EOMONTH(Y$4,0)&lt;&gt;EOMONTH(Y$3,0),EOMONTH(Y$4,0)&gt;=MAX(Y$3,$E21),EOMONTH(Y$4,0)&lt;=IF($F21="",Y$4,MIN(Y$4,$F21)))*1),IF($G21=102,(AND(WORKDAY(EOMONTH(Y$3,0)+1,-3)&gt;=MAX(Y$3,$E21),WORKDAY(EOMONTH(Y$3,0)+1,-3)&lt;=IF($F21="",Y$4,MIN(Y$4,$F21)))*1+AND(WORKDAY(EOMONTH(Y$4,0)+1,-3)&lt;&gt;WORKDAY(EOMONTH(Y$3,0)+1,-3),WORKDAY(EOMONTH(Y$4,0)+1,-3)&gt;=MAX(Y$3,$E21),WORKDAY(EOMONTH(Y$4,0)+1,-3)&lt;=IF($F21="",Y$4,MIN(Y$4,$F21)))*1),IF(AND(IF(EDATE($E21,MAX(0,ROUNDUP(((YEAR(Y$3)-YEAR($E21))*12+MONTH(Y$3)-MONTH($E21))/$G21,0)*$G21))&lt;Y$3,EDATE($E21,MAX(0,ROUNDUP(((YEAR(Y$3)-YEAR($E21))*12+MONTH(Y$3)-MONTH($E21))/$G21,0)*$G21)+$G21),EDATE($E21,MAX(0,ROUNDUP(((YEAR(Y$3)-YEAR($E21))*12+MONTH(Y$3)-MONTH($E21))/$G21,0)*$G21)))&gt;=Y$3,IF(EDATE($E21,MAX(0,ROUNDUP(((YEAR(Y$3)-YEAR($E21))*12+MONTH(Y$3)-MONTH($E21))/$G21,0)*$G21))&lt;Y$3,EDATE($E21,MAX(0,ROUNDUP(((YEAR(Y$3)-YEAR($E21))*12+MONTH(Y$3)-MONTH($E21))/$G21,0)*$G21)+$G21),EDATE($E21,MAX(0,ROUNDUP(((YEAR(Y$3)-YEAR($E21))*12+MONTH(Y$3)-MONTH($E21))/$G21,0)*$G21)))&lt;=IF($F21="",Y$4,MIN(Y$4,$F21))),1,0)))))</f>
        <v>0</v>
      </c>
      <c r="Z21" s="25" t="n">
        <f aca="false">IF(OR($C21="",$C21=0,$E21="",$B21="",$G21=-2),0,$C21*IF($G21=0,IF(IF($F21="",Z$4,MIN(Z$4,$F21))&lt;$E21,0,MAX(0,INT((IF($F21="",Z$4,MIN(Z$4,$F21))-$E21)/7)+1-MAX(0,ROUNDUP((Z$3-$E21)/7,0)))),IF($G21=101,(AND(EOMONTH(Z$3,0)&gt;=MAX(Z$3,$E21),EOMONTH(Z$3,0)&lt;=IF($F21="",Z$4,MIN(Z$4,$F21)))*1+AND(EOMONTH(Z$4,0)&lt;&gt;EOMONTH(Z$3,0),EOMONTH(Z$4,0)&gt;=MAX(Z$3,$E21),EOMONTH(Z$4,0)&lt;=IF($F21="",Z$4,MIN(Z$4,$F21)))*1),IF($G21=102,(AND(WORKDAY(EOMONTH(Z$3,0)+1,-3)&gt;=MAX(Z$3,$E21),WORKDAY(EOMONTH(Z$3,0)+1,-3)&lt;=IF($F21="",Z$4,MIN(Z$4,$F21)))*1+AND(WORKDAY(EOMONTH(Z$4,0)+1,-3)&lt;&gt;WORKDAY(EOMONTH(Z$3,0)+1,-3),WORKDAY(EOMONTH(Z$4,0)+1,-3)&gt;=MAX(Z$3,$E21),WORKDAY(EOMONTH(Z$4,0)+1,-3)&lt;=IF($F21="",Z$4,MIN(Z$4,$F21)))*1),IF(AND(IF(EDATE($E21,MAX(0,ROUNDUP(((YEAR(Z$3)-YEAR($E21))*12+MONTH(Z$3)-MONTH($E21))/$G21,0)*$G21))&lt;Z$3,EDATE($E21,MAX(0,ROUNDUP(((YEAR(Z$3)-YEAR($E21))*12+MONTH(Z$3)-MONTH($E21))/$G21,0)*$G21)+$G21),EDATE($E21,MAX(0,ROUNDUP(((YEAR(Z$3)-YEAR($E21))*12+MONTH(Z$3)-MONTH($E21))/$G21,0)*$G21)))&gt;=Z$3,IF(EDATE($E21,MAX(0,ROUNDUP(((YEAR(Z$3)-YEAR($E21))*12+MONTH(Z$3)-MONTH($E21))/$G21,0)*$G21))&lt;Z$3,EDATE($E21,MAX(0,ROUNDUP(((YEAR(Z$3)-YEAR($E21))*12+MONTH(Z$3)-MONTH($E21))/$G21,0)*$G21)+$G21),EDATE($E21,MAX(0,ROUNDUP(((YEAR(Z$3)-YEAR($E21))*12+MONTH(Z$3)-MONTH($E21))/$G21,0)*$G21)))&lt;=IF($F21="",Z$4,MIN(Z$4,$F21))),1,0)))))</f>
        <v>0</v>
      </c>
      <c r="AA21" s="25" t="n">
        <f aca="false">IF(OR($C21="",$C21=0,$E21="",$B21="",$G21=-2),0,$C21*IF($G21=0,IF(IF($F21="",AA$4,MIN(AA$4,$F21))&lt;$E21,0,MAX(0,INT((IF($F21="",AA$4,MIN(AA$4,$F21))-$E21)/7)+1-MAX(0,ROUNDUP((AA$3-$E21)/7,0)))),IF($G21=101,(AND(EOMONTH(AA$3,0)&gt;=MAX(AA$3,$E21),EOMONTH(AA$3,0)&lt;=IF($F21="",AA$4,MIN(AA$4,$F21)))*1+AND(EOMONTH(AA$4,0)&lt;&gt;EOMONTH(AA$3,0),EOMONTH(AA$4,0)&gt;=MAX(AA$3,$E21),EOMONTH(AA$4,0)&lt;=IF($F21="",AA$4,MIN(AA$4,$F21)))*1),IF($G21=102,(AND(WORKDAY(EOMONTH(AA$3,0)+1,-3)&gt;=MAX(AA$3,$E21),WORKDAY(EOMONTH(AA$3,0)+1,-3)&lt;=IF($F21="",AA$4,MIN(AA$4,$F21)))*1+AND(WORKDAY(EOMONTH(AA$4,0)+1,-3)&lt;&gt;WORKDAY(EOMONTH(AA$3,0)+1,-3),WORKDAY(EOMONTH(AA$4,0)+1,-3)&gt;=MAX(AA$3,$E21),WORKDAY(EOMONTH(AA$4,0)+1,-3)&lt;=IF($F21="",AA$4,MIN(AA$4,$F21)))*1),IF(AND(IF(EDATE($E21,MAX(0,ROUNDUP(((YEAR(AA$3)-YEAR($E21))*12+MONTH(AA$3)-MONTH($E21))/$G21,0)*$G21))&lt;AA$3,EDATE($E21,MAX(0,ROUNDUP(((YEAR(AA$3)-YEAR($E21))*12+MONTH(AA$3)-MONTH($E21))/$G21,0)*$G21)+$G21),EDATE($E21,MAX(0,ROUNDUP(((YEAR(AA$3)-YEAR($E21))*12+MONTH(AA$3)-MONTH($E21))/$G21,0)*$G21)))&gt;=AA$3,IF(EDATE($E21,MAX(0,ROUNDUP(((YEAR(AA$3)-YEAR($E21))*12+MONTH(AA$3)-MONTH($E21))/$G21,0)*$G21))&lt;AA$3,EDATE($E21,MAX(0,ROUNDUP(((YEAR(AA$3)-YEAR($E21))*12+MONTH(AA$3)-MONTH($E21))/$G21,0)*$G21)+$G21),EDATE($E21,MAX(0,ROUNDUP(((YEAR(AA$3)-YEAR($E21))*12+MONTH(AA$3)-MONTH($E21))/$G21,0)*$G21)))&lt;=IF($F21="",AA$4,MIN(AA$4,$F21))),1,0)))))</f>
        <v>0</v>
      </c>
      <c r="AB21" s="25" t="n">
        <f aca="false">IF(OR($C21="",$C21=0,$E21="",$B21="",$G21=-2),0,$C21*IF($G21=0,IF(IF($F21="",AB$4,MIN(AB$4,$F21))&lt;$E21,0,MAX(0,INT((IF($F21="",AB$4,MIN(AB$4,$F21))-$E21)/7)+1-MAX(0,ROUNDUP((AB$3-$E21)/7,0)))),IF($G21=101,(AND(EOMONTH(AB$3,0)&gt;=MAX(AB$3,$E21),EOMONTH(AB$3,0)&lt;=IF($F21="",AB$4,MIN(AB$4,$F21)))*1+AND(EOMONTH(AB$4,0)&lt;&gt;EOMONTH(AB$3,0),EOMONTH(AB$4,0)&gt;=MAX(AB$3,$E21),EOMONTH(AB$4,0)&lt;=IF($F21="",AB$4,MIN(AB$4,$F21)))*1),IF($G21=102,(AND(WORKDAY(EOMONTH(AB$3,0)+1,-3)&gt;=MAX(AB$3,$E21),WORKDAY(EOMONTH(AB$3,0)+1,-3)&lt;=IF($F21="",AB$4,MIN(AB$4,$F21)))*1+AND(WORKDAY(EOMONTH(AB$4,0)+1,-3)&lt;&gt;WORKDAY(EOMONTH(AB$3,0)+1,-3),WORKDAY(EOMONTH(AB$4,0)+1,-3)&gt;=MAX(AB$3,$E21),WORKDAY(EOMONTH(AB$4,0)+1,-3)&lt;=IF($F21="",AB$4,MIN(AB$4,$F21)))*1),IF(AND(IF(EDATE($E21,MAX(0,ROUNDUP(((YEAR(AB$3)-YEAR($E21))*12+MONTH(AB$3)-MONTH($E21))/$G21,0)*$G21))&lt;AB$3,EDATE($E21,MAX(0,ROUNDUP(((YEAR(AB$3)-YEAR($E21))*12+MONTH(AB$3)-MONTH($E21))/$G21,0)*$G21)+$G21),EDATE($E21,MAX(0,ROUNDUP(((YEAR(AB$3)-YEAR($E21))*12+MONTH(AB$3)-MONTH($E21))/$G21,0)*$G21)))&gt;=AB$3,IF(EDATE($E21,MAX(0,ROUNDUP(((YEAR(AB$3)-YEAR($E21))*12+MONTH(AB$3)-MONTH($E21))/$G21,0)*$G21))&lt;AB$3,EDATE($E21,MAX(0,ROUNDUP(((YEAR(AB$3)-YEAR($E21))*12+MONTH(AB$3)-MONTH($E21))/$G21,0)*$G21)+$G21),EDATE($E21,MAX(0,ROUNDUP(((YEAR(AB$3)-YEAR($E21))*12+MONTH(AB$3)-MONTH($E21))/$G21,0)*$G21)))&lt;=IF($F21="",AB$4,MIN(AB$4,$F21))),1,0)))))</f>
        <v>0</v>
      </c>
      <c r="AC21" s="25" t="n">
        <f aca="false">IF(OR($C21="",$C21=0,$E21="",$B21="",$G21=-2),0,$C21*IF($G21=0,IF(IF($F21="",AC$4,MIN(AC$4,$F21))&lt;$E21,0,MAX(0,INT((IF($F21="",AC$4,MIN(AC$4,$F21))-$E21)/7)+1-MAX(0,ROUNDUP((AC$3-$E21)/7,0)))),IF($G21=101,(AND(EOMONTH(AC$3,0)&gt;=MAX(AC$3,$E21),EOMONTH(AC$3,0)&lt;=IF($F21="",AC$4,MIN(AC$4,$F21)))*1+AND(EOMONTH(AC$4,0)&lt;&gt;EOMONTH(AC$3,0),EOMONTH(AC$4,0)&gt;=MAX(AC$3,$E21),EOMONTH(AC$4,0)&lt;=IF($F21="",AC$4,MIN(AC$4,$F21)))*1),IF($G21=102,(AND(WORKDAY(EOMONTH(AC$3,0)+1,-3)&gt;=MAX(AC$3,$E21),WORKDAY(EOMONTH(AC$3,0)+1,-3)&lt;=IF($F21="",AC$4,MIN(AC$4,$F21)))*1+AND(WORKDAY(EOMONTH(AC$4,0)+1,-3)&lt;&gt;WORKDAY(EOMONTH(AC$3,0)+1,-3),WORKDAY(EOMONTH(AC$4,0)+1,-3)&gt;=MAX(AC$3,$E21),WORKDAY(EOMONTH(AC$4,0)+1,-3)&lt;=IF($F21="",AC$4,MIN(AC$4,$F21)))*1),IF(AND(IF(EDATE($E21,MAX(0,ROUNDUP(((YEAR(AC$3)-YEAR($E21))*12+MONTH(AC$3)-MONTH($E21))/$G21,0)*$G21))&lt;AC$3,EDATE($E21,MAX(0,ROUNDUP(((YEAR(AC$3)-YEAR($E21))*12+MONTH(AC$3)-MONTH($E21))/$G21,0)*$G21)+$G21),EDATE($E21,MAX(0,ROUNDUP(((YEAR(AC$3)-YEAR($E21))*12+MONTH(AC$3)-MONTH($E21))/$G21,0)*$G21)))&gt;=AC$3,IF(EDATE($E21,MAX(0,ROUNDUP(((YEAR(AC$3)-YEAR($E21))*12+MONTH(AC$3)-MONTH($E21))/$G21,0)*$G21))&lt;AC$3,EDATE($E21,MAX(0,ROUNDUP(((YEAR(AC$3)-YEAR($E21))*12+MONTH(AC$3)-MONTH($E21))/$G21,0)*$G21)+$G21),EDATE($E21,MAX(0,ROUNDUP(((YEAR(AC$3)-YEAR($E21))*12+MONTH(AC$3)-MONTH($E21))/$G21,0)*$G21)))&lt;=IF($F21="",AC$4,MIN(AC$4,$F21))),1,0)))))</f>
        <v>0</v>
      </c>
      <c r="AD21" s="25" t="n">
        <f aca="false">IF(OR($C21="",$C21=0,$E21="",$B21="",$G21=-2),0,$C21*IF($G21=0,IF(IF($F21="",AD$4,MIN(AD$4,$F21))&lt;$E21,0,MAX(0,INT((IF($F21="",AD$4,MIN(AD$4,$F21))-$E21)/7)+1-MAX(0,ROUNDUP((AD$3-$E21)/7,0)))),IF($G21=101,(AND(EOMONTH(AD$3,0)&gt;=MAX(AD$3,$E21),EOMONTH(AD$3,0)&lt;=IF($F21="",AD$4,MIN(AD$4,$F21)))*1+AND(EOMONTH(AD$4,0)&lt;&gt;EOMONTH(AD$3,0),EOMONTH(AD$4,0)&gt;=MAX(AD$3,$E21),EOMONTH(AD$4,0)&lt;=IF($F21="",AD$4,MIN(AD$4,$F21)))*1),IF($G21=102,(AND(WORKDAY(EOMONTH(AD$3,0)+1,-3)&gt;=MAX(AD$3,$E21),WORKDAY(EOMONTH(AD$3,0)+1,-3)&lt;=IF($F21="",AD$4,MIN(AD$4,$F21)))*1+AND(WORKDAY(EOMONTH(AD$4,0)+1,-3)&lt;&gt;WORKDAY(EOMONTH(AD$3,0)+1,-3),WORKDAY(EOMONTH(AD$4,0)+1,-3)&gt;=MAX(AD$3,$E21),WORKDAY(EOMONTH(AD$4,0)+1,-3)&lt;=IF($F21="",AD$4,MIN(AD$4,$F21)))*1),IF(AND(IF(EDATE($E21,MAX(0,ROUNDUP(((YEAR(AD$3)-YEAR($E21))*12+MONTH(AD$3)-MONTH($E21))/$G21,0)*$G21))&lt;AD$3,EDATE($E21,MAX(0,ROUNDUP(((YEAR(AD$3)-YEAR($E21))*12+MONTH(AD$3)-MONTH($E21))/$G21,0)*$G21)+$G21),EDATE($E21,MAX(0,ROUNDUP(((YEAR(AD$3)-YEAR($E21))*12+MONTH(AD$3)-MONTH($E21))/$G21,0)*$G21)))&gt;=AD$3,IF(EDATE($E21,MAX(0,ROUNDUP(((YEAR(AD$3)-YEAR($E21))*12+MONTH(AD$3)-MONTH($E21))/$G21,0)*$G21))&lt;AD$3,EDATE($E21,MAX(0,ROUNDUP(((YEAR(AD$3)-YEAR($E21))*12+MONTH(AD$3)-MONTH($E21))/$G21,0)*$G21)+$G21),EDATE($E21,MAX(0,ROUNDUP(((YEAR(AD$3)-YEAR($E21))*12+MONTH(AD$3)-MONTH($E21))/$G21,0)*$G21)))&lt;=IF($F21="",AD$4,MIN(AD$4,$F21))),1,0)))))</f>
        <v>0</v>
      </c>
      <c r="AE21" s="25" t="n">
        <f aca="false">IF(OR($C21="",$C21=0,$E21="",$B21="",$G21=-2),0,$C21*IF($G21=0,IF(IF($F21="",AE$4,MIN(AE$4,$F21))&lt;$E21,0,MAX(0,INT((IF($F21="",AE$4,MIN(AE$4,$F21))-$E21)/7)+1-MAX(0,ROUNDUP((AE$3-$E21)/7,0)))),IF($G21=101,(AND(EOMONTH(AE$3,0)&gt;=MAX(AE$3,$E21),EOMONTH(AE$3,0)&lt;=IF($F21="",AE$4,MIN(AE$4,$F21)))*1+AND(EOMONTH(AE$4,0)&lt;&gt;EOMONTH(AE$3,0),EOMONTH(AE$4,0)&gt;=MAX(AE$3,$E21),EOMONTH(AE$4,0)&lt;=IF($F21="",AE$4,MIN(AE$4,$F21)))*1),IF($G21=102,(AND(WORKDAY(EOMONTH(AE$3,0)+1,-3)&gt;=MAX(AE$3,$E21),WORKDAY(EOMONTH(AE$3,0)+1,-3)&lt;=IF($F21="",AE$4,MIN(AE$4,$F21)))*1+AND(WORKDAY(EOMONTH(AE$4,0)+1,-3)&lt;&gt;WORKDAY(EOMONTH(AE$3,0)+1,-3),WORKDAY(EOMONTH(AE$4,0)+1,-3)&gt;=MAX(AE$3,$E21),WORKDAY(EOMONTH(AE$4,0)+1,-3)&lt;=IF($F21="",AE$4,MIN(AE$4,$F21)))*1),IF(AND(IF(EDATE($E21,MAX(0,ROUNDUP(((YEAR(AE$3)-YEAR($E21))*12+MONTH(AE$3)-MONTH($E21))/$G21,0)*$G21))&lt;AE$3,EDATE($E21,MAX(0,ROUNDUP(((YEAR(AE$3)-YEAR($E21))*12+MONTH(AE$3)-MONTH($E21))/$G21,0)*$G21)+$G21),EDATE($E21,MAX(0,ROUNDUP(((YEAR(AE$3)-YEAR($E21))*12+MONTH(AE$3)-MONTH($E21))/$G21,0)*$G21)))&gt;=AE$3,IF(EDATE($E21,MAX(0,ROUNDUP(((YEAR(AE$3)-YEAR($E21))*12+MONTH(AE$3)-MONTH($E21))/$G21,0)*$G21))&lt;AE$3,EDATE($E21,MAX(0,ROUNDUP(((YEAR(AE$3)-YEAR($E21))*12+MONTH(AE$3)-MONTH($E21))/$G21,0)*$G21)+$G21),EDATE($E21,MAX(0,ROUNDUP(((YEAR(AE$3)-YEAR($E21))*12+MONTH(AE$3)-MONTH($E21))/$G21,0)*$G21)))&lt;=IF($F21="",AE$4,MIN(AE$4,$F21))),1,0)))))</f>
        <v>0</v>
      </c>
      <c r="AF21" s="25" t="n">
        <f aca="false">IF(OR($C21="",$C21=0,$E21="",$B21="",$G21=-2),0,$C21*IF($G21=0,IF(IF($F21="",AF$4,MIN(AF$4,$F21))&lt;$E21,0,MAX(0,INT((IF($F21="",AF$4,MIN(AF$4,$F21))-$E21)/7)+1-MAX(0,ROUNDUP((AF$3-$E21)/7,0)))),IF($G21=101,(AND(EOMONTH(AF$3,0)&gt;=MAX(AF$3,$E21),EOMONTH(AF$3,0)&lt;=IF($F21="",AF$4,MIN(AF$4,$F21)))*1+AND(EOMONTH(AF$4,0)&lt;&gt;EOMONTH(AF$3,0),EOMONTH(AF$4,0)&gt;=MAX(AF$3,$E21),EOMONTH(AF$4,0)&lt;=IF($F21="",AF$4,MIN(AF$4,$F21)))*1),IF($G21=102,(AND(WORKDAY(EOMONTH(AF$3,0)+1,-3)&gt;=MAX(AF$3,$E21),WORKDAY(EOMONTH(AF$3,0)+1,-3)&lt;=IF($F21="",AF$4,MIN(AF$4,$F21)))*1+AND(WORKDAY(EOMONTH(AF$4,0)+1,-3)&lt;&gt;WORKDAY(EOMONTH(AF$3,0)+1,-3),WORKDAY(EOMONTH(AF$4,0)+1,-3)&gt;=MAX(AF$3,$E21),WORKDAY(EOMONTH(AF$4,0)+1,-3)&lt;=IF($F21="",AF$4,MIN(AF$4,$F21)))*1),IF(AND(IF(EDATE($E21,MAX(0,ROUNDUP(((YEAR(AF$3)-YEAR($E21))*12+MONTH(AF$3)-MONTH($E21))/$G21,0)*$G21))&lt;AF$3,EDATE($E21,MAX(0,ROUNDUP(((YEAR(AF$3)-YEAR($E21))*12+MONTH(AF$3)-MONTH($E21))/$G21,0)*$G21)+$G21),EDATE($E21,MAX(0,ROUNDUP(((YEAR(AF$3)-YEAR($E21))*12+MONTH(AF$3)-MONTH($E21))/$G21,0)*$G21)))&gt;=AF$3,IF(EDATE($E21,MAX(0,ROUNDUP(((YEAR(AF$3)-YEAR($E21))*12+MONTH(AF$3)-MONTH($E21))/$G21,0)*$G21))&lt;AF$3,EDATE($E21,MAX(0,ROUNDUP(((YEAR(AF$3)-YEAR($E21))*12+MONTH(AF$3)-MONTH($E21))/$G21,0)*$G21)+$G21),EDATE($E21,MAX(0,ROUNDUP(((YEAR(AF$3)-YEAR($E21))*12+MONTH(AF$3)-MONTH($E21))/$G21,0)*$G21)))&lt;=IF($F21="",AF$4,MIN(AF$4,$F21))),1,0)))))</f>
        <v>0</v>
      </c>
    </row>
    <row r="22" customFormat="false" ht="15" hidden="false" customHeight="false" outlineLevel="0" collapsed="false">
      <c r="A22" s="5"/>
      <c r="B22" s="5"/>
      <c r="C22" s="8"/>
      <c r="D22" s="5"/>
      <c r="E22" s="7"/>
      <c r="F22" s="7"/>
      <c r="G22" s="24" t="n">
        <f aca="false">IFERROR(INDEX(Listen!$E$2:$E$8,MATCH(D22,Listen!$D$2:$D$8,0)),-2)</f>
        <v>-2</v>
      </c>
      <c r="H22" s="25" t="n">
        <f aca="false">IF(OR($C22="",$C22=0,$E22="",$B22="",$G22=-2),0,$C22*IF($G22=0,IF(IF($F22="",H$4,MIN(H$4,$F22))&lt;$E22,0,MAX(0,INT((IF($F22="",H$4,MIN(H$4,$F22))-$E22)/7)+1-MAX(0,ROUNDUP((H$3-$E22)/7,0)))),IF($G22=101,(AND(EOMONTH(H$3,0)&gt;=MAX(H$3,$E22),EOMONTH(H$3,0)&lt;=IF($F22="",H$4,MIN(H$4,$F22)))*1+AND(EOMONTH(H$4,0)&lt;&gt;EOMONTH(H$3,0),EOMONTH(H$4,0)&gt;=MAX(H$3,$E22),EOMONTH(H$4,0)&lt;=IF($F22="",H$4,MIN(H$4,$F22)))*1),IF($G22=102,(AND(WORKDAY(EOMONTH(H$3,0)+1,-3)&gt;=MAX(H$3,$E22),WORKDAY(EOMONTH(H$3,0)+1,-3)&lt;=IF($F22="",H$4,MIN(H$4,$F22)))*1+AND(WORKDAY(EOMONTH(H$4,0)+1,-3)&lt;&gt;WORKDAY(EOMONTH(H$3,0)+1,-3),WORKDAY(EOMONTH(H$4,0)+1,-3)&gt;=MAX(H$3,$E22),WORKDAY(EOMONTH(H$4,0)+1,-3)&lt;=IF($F22="",H$4,MIN(H$4,$F22)))*1),IF(AND(IF(EDATE($E22,MAX(0,ROUNDUP(((YEAR(H$3)-YEAR($E22))*12+MONTH(H$3)-MONTH($E22))/$G22,0)*$G22))&lt;H$3,EDATE($E22,MAX(0,ROUNDUP(((YEAR(H$3)-YEAR($E22))*12+MONTH(H$3)-MONTH($E22))/$G22,0)*$G22)+$G22),EDATE($E22,MAX(0,ROUNDUP(((YEAR(H$3)-YEAR($E22))*12+MONTH(H$3)-MONTH($E22))/$G22,0)*$G22)))&gt;=H$3,IF(EDATE($E22,MAX(0,ROUNDUP(((YEAR(H$3)-YEAR($E22))*12+MONTH(H$3)-MONTH($E22))/$G22,0)*$G22))&lt;H$3,EDATE($E22,MAX(0,ROUNDUP(((YEAR(H$3)-YEAR($E22))*12+MONTH(H$3)-MONTH($E22))/$G22,0)*$G22)+$G22),EDATE($E22,MAX(0,ROUNDUP(((YEAR(H$3)-YEAR($E22))*12+MONTH(H$3)-MONTH($E22))/$G22,0)*$G22)))&lt;=IF($F22="",H$4,MIN(H$4,$F22))),1,0)))))</f>
        <v>0</v>
      </c>
      <c r="I22" s="25" t="n">
        <f aca="false">IF(OR($C22="",$C22=0,$E22="",$B22="",$G22=-2),0,$C22*IF($G22=0,IF(IF($F22="",I$4,MIN(I$4,$F22))&lt;$E22,0,MAX(0,INT((IF($F22="",I$4,MIN(I$4,$F22))-$E22)/7)+1-MAX(0,ROUNDUP((I$3-$E22)/7,0)))),IF($G22=101,(AND(EOMONTH(I$3,0)&gt;=MAX(I$3,$E22),EOMONTH(I$3,0)&lt;=IF($F22="",I$4,MIN(I$4,$F22)))*1+AND(EOMONTH(I$4,0)&lt;&gt;EOMONTH(I$3,0),EOMONTH(I$4,0)&gt;=MAX(I$3,$E22),EOMONTH(I$4,0)&lt;=IF($F22="",I$4,MIN(I$4,$F22)))*1),IF($G22=102,(AND(WORKDAY(EOMONTH(I$3,0)+1,-3)&gt;=MAX(I$3,$E22),WORKDAY(EOMONTH(I$3,0)+1,-3)&lt;=IF($F22="",I$4,MIN(I$4,$F22)))*1+AND(WORKDAY(EOMONTH(I$4,0)+1,-3)&lt;&gt;WORKDAY(EOMONTH(I$3,0)+1,-3),WORKDAY(EOMONTH(I$4,0)+1,-3)&gt;=MAX(I$3,$E22),WORKDAY(EOMONTH(I$4,0)+1,-3)&lt;=IF($F22="",I$4,MIN(I$4,$F22)))*1),IF(AND(IF(EDATE($E22,MAX(0,ROUNDUP(((YEAR(I$3)-YEAR($E22))*12+MONTH(I$3)-MONTH($E22))/$G22,0)*$G22))&lt;I$3,EDATE($E22,MAX(0,ROUNDUP(((YEAR(I$3)-YEAR($E22))*12+MONTH(I$3)-MONTH($E22))/$G22,0)*$G22)+$G22),EDATE($E22,MAX(0,ROUNDUP(((YEAR(I$3)-YEAR($E22))*12+MONTH(I$3)-MONTH($E22))/$G22,0)*$G22)))&gt;=I$3,IF(EDATE($E22,MAX(0,ROUNDUP(((YEAR(I$3)-YEAR($E22))*12+MONTH(I$3)-MONTH($E22))/$G22,0)*$G22))&lt;I$3,EDATE($E22,MAX(0,ROUNDUP(((YEAR(I$3)-YEAR($E22))*12+MONTH(I$3)-MONTH($E22))/$G22,0)*$G22)+$G22),EDATE($E22,MAX(0,ROUNDUP(((YEAR(I$3)-YEAR($E22))*12+MONTH(I$3)-MONTH($E22))/$G22,0)*$G22)))&lt;=IF($F22="",I$4,MIN(I$4,$F22))),1,0)))))</f>
        <v>0</v>
      </c>
      <c r="J22" s="25" t="n">
        <f aca="false">IF(OR($C22="",$C22=0,$E22="",$B22="",$G22=-2),0,$C22*IF($G22=0,IF(IF($F22="",J$4,MIN(J$4,$F22))&lt;$E22,0,MAX(0,INT((IF($F22="",J$4,MIN(J$4,$F22))-$E22)/7)+1-MAX(0,ROUNDUP((J$3-$E22)/7,0)))),IF($G22=101,(AND(EOMONTH(J$3,0)&gt;=MAX(J$3,$E22),EOMONTH(J$3,0)&lt;=IF($F22="",J$4,MIN(J$4,$F22)))*1+AND(EOMONTH(J$4,0)&lt;&gt;EOMONTH(J$3,0),EOMONTH(J$4,0)&gt;=MAX(J$3,$E22),EOMONTH(J$4,0)&lt;=IF($F22="",J$4,MIN(J$4,$F22)))*1),IF($G22=102,(AND(WORKDAY(EOMONTH(J$3,0)+1,-3)&gt;=MAX(J$3,$E22),WORKDAY(EOMONTH(J$3,0)+1,-3)&lt;=IF($F22="",J$4,MIN(J$4,$F22)))*1+AND(WORKDAY(EOMONTH(J$4,0)+1,-3)&lt;&gt;WORKDAY(EOMONTH(J$3,0)+1,-3),WORKDAY(EOMONTH(J$4,0)+1,-3)&gt;=MAX(J$3,$E22),WORKDAY(EOMONTH(J$4,0)+1,-3)&lt;=IF($F22="",J$4,MIN(J$4,$F22)))*1),IF(AND(IF(EDATE($E22,MAX(0,ROUNDUP(((YEAR(J$3)-YEAR($E22))*12+MONTH(J$3)-MONTH($E22))/$G22,0)*$G22))&lt;J$3,EDATE($E22,MAX(0,ROUNDUP(((YEAR(J$3)-YEAR($E22))*12+MONTH(J$3)-MONTH($E22))/$G22,0)*$G22)+$G22),EDATE($E22,MAX(0,ROUNDUP(((YEAR(J$3)-YEAR($E22))*12+MONTH(J$3)-MONTH($E22))/$G22,0)*$G22)))&gt;=J$3,IF(EDATE($E22,MAX(0,ROUNDUP(((YEAR(J$3)-YEAR($E22))*12+MONTH(J$3)-MONTH($E22))/$G22,0)*$G22))&lt;J$3,EDATE($E22,MAX(0,ROUNDUP(((YEAR(J$3)-YEAR($E22))*12+MONTH(J$3)-MONTH($E22))/$G22,0)*$G22)+$G22),EDATE($E22,MAX(0,ROUNDUP(((YEAR(J$3)-YEAR($E22))*12+MONTH(J$3)-MONTH($E22))/$G22,0)*$G22)))&lt;=IF($F22="",J$4,MIN(J$4,$F22))),1,0)))))</f>
        <v>0</v>
      </c>
      <c r="K22" s="25" t="n">
        <f aca="false">IF(OR($C22="",$C22=0,$E22="",$B22="",$G22=-2),0,$C22*IF($G22=0,IF(IF($F22="",K$4,MIN(K$4,$F22))&lt;$E22,0,MAX(0,INT((IF($F22="",K$4,MIN(K$4,$F22))-$E22)/7)+1-MAX(0,ROUNDUP((K$3-$E22)/7,0)))),IF($G22=101,(AND(EOMONTH(K$3,0)&gt;=MAX(K$3,$E22),EOMONTH(K$3,0)&lt;=IF($F22="",K$4,MIN(K$4,$F22)))*1+AND(EOMONTH(K$4,0)&lt;&gt;EOMONTH(K$3,0),EOMONTH(K$4,0)&gt;=MAX(K$3,$E22),EOMONTH(K$4,0)&lt;=IF($F22="",K$4,MIN(K$4,$F22)))*1),IF($G22=102,(AND(WORKDAY(EOMONTH(K$3,0)+1,-3)&gt;=MAX(K$3,$E22),WORKDAY(EOMONTH(K$3,0)+1,-3)&lt;=IF($F22="",K$4,MIN(K$4,$F22)))*1+AND(WORKDAY(EOMONTH(K$4,0)+1,-3)&lt;&gt;WORKDAY(EOMONTH(K$3,0)+1,-3),WORKDAY(EOMONTH(K$4,0)+1,-3)&gt;=MAX(K$3,$E22),WORKDAY(EOMONTH(K$4,0)+1,-3)&lt;=IF($F22="",K$4,MIN(K$4,$F22)))*1),IF(AND(IF(EDATE($E22,MAX(0,ROUNDUP(((YEAR(K$3)-YEAR($E22))*12+MONTH(K$3)-MONTH($E22))/$G22,0)*$G22))&lt;K$3,EDATE($E22,MAX(0,ROUNDUP(((YEAR(K$3)-YEAR($E22))*12+MONTH(K$3)-MONTH($E22))/$G22,0)*$G22)+$G22),EDATE($E22,MAX(0,ROUNDUP(((YEAR(K$3)-YEAR($E22))*12+MONTH(K$3)-MONTH($E22))/$G22,0)*$G22)))&gt;=K$3,IF(EDATE($E22,MAX(0,ROUNDUP(((YEAR(K$3)-YEAR($E22))*12+MONTH(K$3)-MONTH($E22))/$G22,0)*$G22))&lt;K$3,EDATE($E22,MAX(0,ROUNDUP(((YEAR(K$3)-YEAR($E22))*12+MONTH(K$3)-MONTH($E22))/$G22,0)*$G22)+$G22),EDATE($E22,MAX(0,ROUNDUP(((YEAR(K$3)-YEAR($E22))*12+MONTH(K$3)-MONTH($E22))/$G22,0)*$G22)))&lt;=IF($F22="",K$4,MIN(K$4,$F22))),1,0)))))</f>
        <v>0</v>
      </c>
      <c r="L22" s="25" t="n">
        <f aca="false">IF(OR($C22="",$C22=0,$E22="",$B22="",$G22=-2),0,$C22*IF($G22=0,IF(IF($F22="",L$4,MIN(L$4,$F22))&lt;$E22,0,MAX(0,INT((IF($F22="",L$4,MIN(L$4,$F22))-$E22)/7)+1-MAX(0,ROUNDUP((L$3-$E22)/7,0)))),IF($G22=101,(AND(EOMONTH(L$3,0)&gt;=MAX(L$3,$E22),EOMONTH(L$3,0)&lt;=IF($F22="",L$4,MIN(L$4,$F22)))*1+AND(EOMONTH(L$4,0)&lt;&gt;EOMONTH(L$3,0),EOMONTH(L$4,0)&gt;=MAX(L$3,$E22),EOMONTH(L$4,0)&lt;=IF($F22="",L$4,MIN(L$4,$F22)))*1),IF($G22=102,(AND(WORKDAY(EOMONTH(L$3,0)+1,-3)&gt;=MAX(L$3,$E22),WORKDAY(EOMONTH(L$3,0)+1,-3)&lt;=IF($F22="",L$4,MIN(L$4,$F22)))*1+AND(WORKDAY(EOMONTH(L$4,0)+1,-3)&lt;&gt;WORKDAY(EOMONTH(L$3,0)+1,-3),WORKDAY(EOMONTH(L$4,0)+1,-3)&gt;=MAX(L$3,$E22),WORKDAY(EOMONTH(L$4,0)+1,-3)&lt;=IF($F22="",L$4,MIN(L$4,$F22)))*1),IF(AND(IF(EDATE($E22,MAX(0,ROUNDUP(((YEAR(L$3)-YEAR($E22))*12+MONTH(L$3)-MONTH($E22))/$G22,0)*$G22))&lt;L$3,EDATE($E22,MAX(0,ROUNDUP(((YEAR(L$3)-YEAR($E22))*12+MONTH(L$3)-MONTH($E22))/$G22,0)*$G22)+$G22),EDATE($E22,MAX(0,ROUNDUP(((YEAR(L$3)-YEAR($E22))*12+MONTH(L$3)-MONTH($E22))/$G22,0)*$G22)))&gt;=L$3,IF(EDATE($E22,MAX(0,ROUNDUP(((YEAR(L$3)-YEAR($E22))*12+MONTH(L$3)-MONTH($E22))/$G22,0)*$G22))&lt;L$3,EDATE($E22,MAX(0,ROUNDUP(((YEAR(L$3)-YEAR($E22))*12+MONTH(L$3)-MONTH($E22))/$G22,0)*$G22)+$G22),EDATE($E22,MAX(0,ROUNDUP(((YEAR(L$3)-YEAR($E22))*12+MONTH(L$3)-MONTH($E22))/$G22,0)*$G22)))&lt;=IF($F22="",L$4,MIN(L$4,$F22))),1,0)))))</f>
        <v>0</v>
      </c>
      <c r="M22" s="25" t="n">
        <f aca="false">IF(OR($C22="",$C22=0,$E22="",$B22="",$G22=-2),0,$C22*IF($G22=0,IF(IF($F22="",M$4,MIN(M$4,$F22))&lt;$E22,0,MAX(0,INT((IF($F22="",M$4,MIN(M$4,$F22))-$E22)/7)+1-MAX(0,ROUNDUP((M$3-$E22)/7,0)))),IF($G22=101,(AND(EOMONTH(M$3,0)&gt;=MAX(M$3,$E22),EOMONTH(M$3,0)&lt;=IF($F22="",M$4,MIN(M$4,$F22)))*1+AND(EOMONTH(M$4,0)&lt;&gt;EOMONTH(M$3,0),EOMONTH(M$4,0)&gt;=MAX(M$3,$E22),EOMONTH(M$4,0)&lt;=IF($F22="",M$4,MIN(M$4,$F22)))*1),IF($G22=102,(AND(WORKDAY(EOMONTH(M$3,0)+1,-3)&gt;=MAX(M$3,$E22),WORKDAY(EOMONTH(M$3,0)+1,-3)&lt;=IF($F22="",M$4,MIN(M$4,$F22)))*1+AND(WORKDAY(EOMONTH(M$4,0)+1,-3)&lt;&gt;WORKDAY(EOMONTH(M$3,0)+1,-3),WORKDAY(EOMONTH(M$4,0)+1,-3)&gt;=MAX(M$3,$E22),WORKDAY(EOMONTH(M$4,0)+1,-3)&lt;=IF($F22="",M$4,MIN(M$4,$F22)))*1),IF(AND(IF(EDATE($E22,MAX(0,ROUNDUP(((YEAR(M$3)-YEAR($E22))*12+MONTH(M$3)-MONTH($E22))/$G22,0)*$G22))&lt;M$3,EDATE($E22,MAX(0,ROUNDUP(((YEAR(M$3)-YEAR($E22))*12+MONTH(M$3)-MONTH($E22))/$G22,0)*$G22)+$G22),EDATE($E22,MAX(0,ROUNDUP(((YEAR(M$3)-YEAR($E22))*12+MONTH(M$3)-MONTH($E22))/$G22,0)*$G22)))&gt;=M$3,IF(EDATE($E22,MAX(0,ROUNDUP(((YEAR(M$3)-YEAR($E22))*12+MONTH(M$3)-MONTH($E22))/$G22,0)*$G22))&lt;M$3,EDATE($E22,MAX(0,ROUNDUP(((YEAR(M$3)-YEAR($E22))*12+MONTH(M$3)-MONTH($E22))/$G22,0)*$G22)+$G22),EDATE($E22,MAX(0,ROUNDUP(((YEAR(M$3)-YEAR($E22))*12+MONTH(M$3)-MONTH($E22))/$G22,0)*$G22)))&lt;=IF($F22="",M$4,MIN(M$4,$F22))),1,0)))))</f>
        <v>0</v>
      </c>
      <c r="N22" s="25" t="n">
        <f aca="false">IF(OR($C22="",$C22=0,$E22="",$B22="",$G22=-2),0,$C22*IF($G22=0,IF(IF($F22="",N$4,MIN(N$4,$F22))&lt;$E22,0,MAX(0,INT((IF($F22="",N$4,MIN(N$4,$F22))-$E22)/7)+1-MAX(0,ROUNDUP((N$3-$E22)/7,0)))),IF($G22=101,(AND(EOMONTH(N$3,0)&gt;=MAX(N$3,$E22),EOMONTH(N$3,0)&lt;=IF($F22="",N$4,MIN(N$4,$F22)))*1+AND(EOMONTH(N$4,0)&lt;&gt;EOMONTH(N$3,0),EOMONTH(N$4,0)&gt;=MAX(N$3,$E22),EOMONTH(N$4,0)&lt;=IF($F22="",N$4,MIN(N$4,$F22)))*1),IF($G22=102,(AND(WORKDAY(EOMONTH(N$3,0)+1,-3)&gt;=MAX(N$3,$E22),WORKDAY(EOMONTH(N$3,0)+1,-3)&lt;=IF($F22="",N$4,MIN(N$4,$F22)))*1+AND(WORKDAY(EOMONTH(N$4,0)+1,-3)&lt;&gt;WORKDAY(EOMONTH(N$3,0)+1,-3),WORKDAY(EOMONTH(N$4,0)+1,-3)&gt;=MAX(N$3,$E22),WORKDAY(EOMONTH(N$4,0)+1,-3)&lt;=IF($F22="",N$4,MIN(N$4,$F22)))*1),IF(AND(IF(EDATE($E22,MAX(0,ROUNDUP(((YEAR(N$3)-YEAR($E22))*12+MONTH(N$3)-MONTH($E22))/$G22,0)*$G22))&lt;N$3,EDATE($E22,MAX(0,ROUNDUP(((YEAR(N$3)-YEAR($E22))*12+MONTH(N$3)-MONTH($E22))/$G22,0)*$G22)+$G22),EDATE($E22,MAX(0,ROUNDUP(((YEAR(N$3)-YEAR($E22))*12+MONTH(N$3)-MONTH($E22))/$G22,0)*$G22)))&gt;=N$3,IF(EDATE($E22,MAX(0,ROUNDUP(((YEAR(N$3)-YEAR($E22))*12+MONTH(N$3)-MONTH($E22))/$G22,0)*$G22))&lt;N$3,EDATE($E22,MAX(0,ROUNDUP(((YEAR(N$3)-YEAR($E22))*12+MONTH(N$3)-MONTH($E22))/$G22,0)*$G22)+$G22),EDATE($E22,MAX(0,ROUNDUP(((YEAR(N$3)-YEAR($E22))*12+MONTH(N$3)-MONTH($E22))/$G22,0)*$G22)))&lt;=IF($F22="",N$4,MIN(N$4,$F22))),1,0)))))</f>
        <v>0</v>
      </c>
      <c r="O22" s="25" t="n">
        <f aca="false">IF(OR($C22="",$C22=0,$E22="",$B22="",$G22=-2),0,$C22*IF($G22=0,IF(IF($F22="",O$4,MIN(O$4,$F22))&lt;$E22,0,MAX(0,INT((IF($F22="",O$4,MIN(O$4,$F22))-$E22)/7)+1-MAX(0,ROUNDUP((O$3-$E22)/7,0)))),IF($G22=101,(AND(EOMONTH(O$3,0)&gt;=MAX(O$3,$E22),EOMONTH(O$3,0)&lt;=IF($F22="",O$4,MIN(O$4,$F22)))*1+AND(EOMONTH(O$4,0)&lt;&gt;EOMONTH(O$3,0),EOMONTH(O$4,0)&gt;=MAX(O$3,$E22),EOMONTH(O$4,0)&lt;=IF($F22="",O$4,MIN(O$4,$F22)))*1),IF($G22=102,(AND(WORKDAY(EOMONTH(O$3,0)+1,-3)&gt;=MAX(O$3,$E22),WORKDAY(EOMONTH(O$3,0)+1,-3)&lt;=IF($F22="",O$4,MIN(O$4,$F22)))*1+AND(WORKDAY(EOMONTH(O$4,0)+1,-3)&lt;&gt;WORKDAY(EOMONTH(O$3,0)+1,-3),WORKDAY(EOMONTH(O$4,0)+1,-3)&gt;=MAX(O$3,$E22),WORKDAY(EOMONTH(O$4,0)+1,-3)&lt;=IF($F22="",O$4,MIN(O$4,$F22)))*1),IF(AND(IF(EDATE($E22,MAX(0,ROUNDUP(((YEAR(O$3)-YEAR($E22))*12+MONTH(O$3)-MONTH($E22))/$G22,0)*$G22))&lt;O$3,EDATE($E22,MAX(0,ROUNDUP(((YEAR(O$3)-YEAR($E22))*12+MONTH(O$3)-MONTH($E22))/$G22,0)*$G22)+$G22),EDATE($E22,MAX(0,ROUNDUP(((YEAR(O$3)-YEAR($E22))*12+MONTH(O$3)-MONTH($E22))/$G22,0)*$G22)))&gt;=O$3,IF(EDATE($E22,MAX(0,ROUNDUP(((YEAR(O$3)-YEAR($E22))*12+MONTH(O$3)-MONTH($E22))/$G22,0)*$G22))&lt;O$3,EDATE($E22,MAX(0,ROUNDUP(((YEAR(O$3)-YEAR($E22))*12+MONTH(O$3)-MONTH($E22))/$G22,0)*$G22)+$G22),EDATE($E22,MAX(0,ROUNDUP(((YEAR(O$3)-YEAR($E22))*12+MONTH(O$3)-MONTH($E22))/$G22,0)*$G22)))&lt;=IF($F22="",O$4,MIN(O$4,$F22))),1,0)))))</f>
        <v>0</v>
      </c>
      <c r="P22" s="25" t="n">
        <f aca="false">IF(OR($C22="",$C22=0,$E22="",$B22="",$G22=-2),0,$C22*IF($G22=0,IF(IF($F22="",P$4,MIN(P$4,$F22))&lt;$E22,0,MAX(0,INT((IF($F22="",P$4,MIN(P$4,$F22))-$E22)/7)+1-MAX(0,ROUNDUP((P$3-$E22)/7,0)))),IF($G22=101,(AND(EOMONTH(P$3,0)&gt;=MAX(P$3,$E22),EOMONTH(P$3,0)&lt;=IF($F22="",P$4,MIN(P$4,$F22)))*1+AND(EOMONTH(P$4,0)&lt;&gt;EOMONTH(P$3,0),EOMONTH(P$4,0)&gt;=MAX(P$3,$E22),EOMONTH(P$4,0)&lt;=IF($F22="",P$4,MIN(P$4,$F22)))*1),IF($G22=102,(AND(WORKDAY(EOMONTH(P$3,0)+1,-3)&gt;=MAX(P$3,$E22),WORKDAY(EOMONTH(P$3,0)+1,-3)&lt;=IF($F22="",P$4,MIN(P$4,$F22)))*1+AND(WORKDAY(EOMONTH(P$4,0)+1,-3)&lt;&gt;WORKDAY(EOMONTH(P$3,0)+1,-3),WORKDAY(EOMONTH(P$4,0)+1,-3)&gt;=MAX(P$3,$E22),WORKDAY(EOMONTH(P$4,0)+1,-3)&lt;=IF($F22="",P$4,MIN(P$4,$F22)))*1),IF(AND(IF(EDATE($E22,MAX(0,ROUNDUP(((YEAR(P$3)-YEAR($E22))*12+MONTH(P$3)-MONTH($E22))/$G22,0)*$G22))&lt;P$3,EDATE($E22,MAX(0,ROUNDUP(((YEAR(P$3)-YEAR($E22))*12+MONTH(P$3)-MONTH($E22))/$G22,0)*$G22)+$G22),EDATE($E22,MAX(0,ROUNDUP(((YEAR(P$3)-YEAR($E22))*12+MONTH(P$3)-MONTH($E22))/$G22,0)*$G22)))&gt;=P$3,IF(EDATE($E22,MAX(0,ROUNDUP(((YEAR(P$3)-YEAR($E22))*12+MONTH(P$3)-MONTH($E22))/$G22,0)*$G22))&lt;P$3,EDATE($E22,MAX(0,ROUNDUP(((YEAR(P$3)-YEAR($E22))*12+MONTH(P$3)-MONTH($E22))/$G22,0)*$G22)+$G22),EDATE($E22,MAX(0,ROUNDUP(((YEAR(P$3)-YEAR($E22))*12+MONTH(P$3)-MONTH($E22))/$G22,0)*$G22)))&lt;=IF($F22="",P$4,MIN(P$4,$F22))),1,0)))))</f>
        <v>0</v>
      </c>
      <c r="Q22" s="25" t="n">
        <f aca="false">IF(OR($C22="",$C22=0,$E22="",$B22="",$G22=-2),0,$C22*IF($G22=0,IF(IF($F22="",Q$4,MIN(Q$4,$F22))&lt;$E22,0,MAX(0,INT((IF($F22="",Q$4,MIN(Q$4,$F22))-$E22)/7)+1-MAX(0,ROUNDUP((Q$3-$E22)/7,0)))),IF($G22=101,(AND(EOMONTH(Q$3,0)&gt;=MAX(Q$3,$E22),EOMONTH(Q$3,0)&lt;=IF($F22="",Q$4,MIN(Q$4,$F22)))*1+AND(EOMONTH(Q$4,0)&lt;&gt;EOMONTH(Q$3,0),EOMONTH(Q$4,0)&gt;=MAX(Q$3,$E22),EOMONTH(Q$4,0)&lt;=IF($F22="",Q$4,MIN(Q$4,$F22)))*1),IF($G22=102,(AND(WORKDAY(EOMONTH(Q$3,0)+1,-3)&gt;=MAX(Q$3,$E22),WORKDAY(EOMONTH(Q$3,0)+1,-3)&lt;=IF($F22="",Q$4,MIN(Q$4,$F22)))*1+AND(WORKDAY(EOMONTH(Q$4,0)+1,-3)&lt;&gt;WORKDAY(EOMONTH(Q$3,0)+1,-3),WORKDAY(EOMONTH(Q$4,0)+1,-3)&gt;=MAX(Q$3,$E22),WORKDAY(EOMONTH(Q$4,0)+1,-3)&lt;=IF($F22="",Q$4,MIN(Q$4,$F22)))*1),IF(AND(IF(EDATE($E22,MAX(0,ROUNDUP(((YEAR(Q$3)-YEAR($E22))*12+MONTH(Q$3)-MONTH($E22))/$G22,0)*$G22))&lt;Q$3,EDATE($E22,MAX(0,ROUNDUP(((YEAR(Q$3)-YEAR($E22))*12+MONTH(Q$3)-MONTH($E22))/$G22,0)*$G22)+$G22),EDATE($E22,MAX(0,ROUNDUP(((YEAR(Q$3)-YEAR($E22))*12+MONTH(Q$3)-MONTH($E22))/$G22,0)*$G22)))&gt;=Q$3,IF(EDATE($E22,MAX(0,ROUNDUP(((YEAR(Q$3)-YEAR($E22))*12+MONTH(Q$3)-MONTH($E22))/$G22,0)*$G22))&lt;Q$3,EDATE($E22,MAX(0,ROUNDUP(((YEAR(Q$3)-YEAR($E22))*12+MONTH(Q$3)-MONTH($E22))/$G22,0)*$G22)+$G22),EDATE($E22,MAX(0,ROUNDUP(((YEAR(Q$3)-YEAR($E22))*12+MONTH(Q$3)-MONTH($E22))/$G22,0)*$G22)))&lt;=IF($F22="",Q$4,MIN(Q$4,$F22))),1,0)))))</f>
        <v>0</v>
      </c>
      <c r="R22" s="25" t="n">
        <f aca="false">IF(OR($C22="",$C22=0,$E22="",$B22="",$G22=-2),0,$C22*IF($G22=0,IF(IF($F22="",R$4,MIN(R$4,$F22))&lt;$E22,0,MAX(0,INT((IF($F22="",R$4,MIN(R$4,$F22))-$E22)/7)+1-MAX(0,ROUNDUP((R$3-$E22)/7,0)))),IF($G22=101,(AND(EOMONTH(R$3,0)&gt;=MAX(R$3,$E22),EOMONTH(R$3,0)&lt;=IF($F22="",R$4,MIN(R$4,$F22)))*1+AND(EOMONTH(R$4,0)&lt;&gt;EOMONTH(R$3,0),EOMONTH(R$4,0)&gt;=MAX(R$3,$E22),EOMONTH(R$4,0)&lt;=IF($F22="",R$4,MIN(R$4,$F22)))*1),IF($G22=102,(AND(WORKDAY(EOMONTH(R$3,0)+1,-3)&gt;=MAX(R$3,$E22),WORKDAY(EOMONTH(R$3,0)+1,-3)&lt;=IF($F22="",R$4,MIN(R$4,$F22)))*1+AND(WORKDAY(EOMONTH(R$4,0)+1,-3)&lt;&gt;WORKDAY(EOMONTH(R$3,0)+1,-3),WORKDAY(EOMONTH(R$4,0)+1,-3)&gt;=MAX(R$3,$E22),WORKDAY(EOMONTH(R$4,0)+1,-3)&lt;=IF($F22="",R$4,MIN(R$4,$F22)))*1),IF(AND(IF(EDATE($E22,MAX(0,ROUNDUP(((YEAR(R$3)-YEAR($E22))*12+MONTH(R$3)-MONTH($E22))/$G22,0)*$G22))&lt;R$3,EDATE($E22,MAX(0,ROUNDUP(((YEAR(R$3)-YEAR($E22))*12+MONTH(R$3)-MONTH($E22))/$G22,0)*$G22)+$G22),EDATE($E22,MAX(0,ROUNDUP(((YEAR(R$3)-YEAR($E22))*12+MONTH(R$3)-MONTH($E22))/$G22,0)*$G22)))&gt;=R$3,IF(EDATE($E22,MAX(0,ROUNDUP(((YEAR(R$3)-YEAR($E22))*12+MONTH(R$3)-MONTH($E22))/$G22,0)*$G22))&lt;R$3,EDATE($E22,MAX(0,ROUNDUP(((YEAR(R$3)-YEAR($E22))*12+MONTH(R$3)-MONTH($E22))/$G22,0)*$G22)+$G22),EDATE($E22,MAX(0,ROUNDUP(((YEAR(R$3)-YEAR($E22))*12+MONTH(R$3)-MONTH($E22))/$G22,0)*$G22)))&lt;=IF($F22="",R$4,MIN(R$4,$F22))),1,0)))))</f>
        <v>0</v>
      </c>
      <c r="S22" s="25" t="n">
        <f aca="false">IF(OR($C22="",$C22=0,$E22="",$B22="",$G22=-2),0,$C22*IF($G22=0,IF(IF($F22="",S$4,MIN(S$4,$F22))&lt;$E22,0,MAX(0,INT((IF($F22="",S$4,MIN(S$4,$F22))-$E22)/7)+1-MAX(0,ROUNDUP((S$3-$E22)/7,0)))),IF($G22=101,(AND(EOMONTH(S$3,0)&gt;=MAX(S$3,$E22),EOMONTH(S$3,0)&lt;=IF($F22="",S$4,MIN(S$4,$F22)))*1+AND(EOMONTH(S$4,0)&lt;&gt;EOMONTH(S$3,0),EOMONTH(S$4,0)&gt;=MAX(S$3,$E22),EOMONTH(S$4,0)&lt;=IF($F22="",S$4,MIN(S$4,$F22)))*1),IF($G22=102,(AND(WORKDAY(EOMONTH(S$3,0)+1,-3)&gt;=MAX(S$3,$E22),WORKDAY(EOMONTH(S$3,0)+1,-3)&lt;=IF($F22="",S$4,MIN(S$4,$F22)))*1+AND(WORKDAY(EOMONTH(S$4,0)+1,-3)&lt;&gt;WORKDAY(EOMONTH(S$3,0)+1,-3),WORKDAY(EOMONTH(S$4,0)+1,-3)&gt;=MAX(S$3,$E22),WORKDAY(EOMONTH(S$4,0)+1,-3)&lt;=IF($F22="",S$4,MIN(S$4,$F22)))*1),IF(AND(IF(EDATE($E22,MAX(0,ROUNDUP(((YEAR(S$3)-YEAR($E22))*12+MONTH(S$3)-MONTH($E22))/$G22,0)*$G22))&lt;S$3,EDATE($E22,MAX(0,ROUNDUP(((YEAR(S$3)-YEAR($E22))*12+MONTH(S$3)-MONTH($E22))/$G22,0)*$G22)+$G22),EDATE($E22,MAX(0,ROUNDUP(((YEAR(S$3)-YEAR($E22))*12+MONTH(S$3)-MONTH($E22))/$G22,0)*$G22)))&gt;=S$3,IF(EDATE($E22,MAX(0,ROUNDUP(((YEAR(S$3)-YEAR($E22))*12+MONTH(S$3)-MONTH($E22))/$G22,0)*$G22))&lt;S$3,EDATE($E22,MAX(0,ROUNDUP(((YEAR(S$3)-YEAR($E22))*12+MONTH(S$3)-MONTH($E22))/$G22,0)*$G22)+$G22),EDATE($E22,MAX(0,ROUNDUP(((YEAR(S$3)-YEAR($E22))*12+MONTH(S$3)-MONTH($E22))/$G22,0)*$G22)))&lt;=IF($F22="",S$4,MIN(S$4,$F22))),1,0)))))</f>
        <v>0</v>
      </c>
      <c r="T22" s="25" t="n">
        <f aca="false">IF(OR($C22="",$C22=0,$E22="",$B22="",$G22=-2),0,$C22*IF($G22=0,IF(IF($F22="",T$4,MIN(T$4,$F22))&lt;$E22,0,MAX(0,INT((IF($F22="",T$4,MIN(T$4,$F22))-$E22)/7)+1-MAX(0,ROUNDUP((T$3-$E22)/7,0)))),IF($G22=101,(AND(EOMONTH(T$3,0)&gt;=MAX(T$3,$E22),EOMONTH(T$3,0)&lt;=IF($F22="",T$4,MIN(T$4,$F22)))*1+AND(EOMONTH(T$4,0)&lt;&gt;EOMONTH(T$3,0),EOMONTH(T$4,0)&gt;=MAX(T$3,$E22),EOMONTH(T$4,0)&lt;=IF($F22="",T$4,MIN(T$4,$F22)))*1),IF($G22=102,(AND(WORKDAY(EOMONTH(T$3,0)+1,-3)&gt;=MAX(T$3,$E22),WORKDAY(EOMONTH(T$3,0)+1,-3)&lt;=IF($F22="",T$4,MIN(T$4,$F22)))*1+AND(WORKDAY(EOMONTH(T$4,0)+1,-3)&lt;&gt;WORKDAY(EOMONTH(T$3,0)+1,-3),WORKDAY(EOMONTH(T$4,0)+1,-3)&gt;=MAX(T$3,$E22),WORKDAY(EOMONTH(T$4,0)+1,-3)&lt;=IF($F22="",T$4,MIN(T$4,$F22)))*1),IF(AND(IF(EDATE($E22,MAX(0,ROUNDUP(((YEAR(T$3)-YEAR($E22))*12+MONTH(T$3)-MONTH($E22))/$G22,0)*$G22))&lt;T$3,EDATE($E22,MAX(0,ROUNDUP(((YEAR(T$3)-YEAR($E22))*12+MONTH(T$3)-MONTH($E22))/$G22,0)*$G22)+$G22),EDATE($E22,MAX(0,ROUNDUP(((YEAR(T$3)-YEAR($E22))*12+MONTH(T$3)-MONTH($E22))/$G22,0)*$G22)))&gt;=T$3,IF(EDATE($E22,MAX(0,ROUNDUP(((YEAR(T$3)-YEAR($E22))*12+MONTH(T$3)-MONTH($E22))/$G22,0)*$G22))&lt;T$3,EDATE($E22,MAX(0,ROUNDUP(((YEAR(T$3)-YEAR($E22))*12+MONTH(T$3)-MONTH($E22))/$G22,0)*$G22)+$G22),EDATE($E22,MAX(0,ROUNDUP(((YEAR(T$3)-YEAR($E22))*12+MONTH(T$3)-MONTH($E22))/$G22,0)*$G22)))&lt;=IF($F22="",T$4,MIN(T$4,$F22))),1,0)))))</f>
        <v>0</v>
      </c>
      <c r="U22" s="25" t="n">
        <f aca="false">IF(OR($C22="",$C22=0,$E22="",$B22="",$G22=-2),0,$C22*IF($G22=0,IF(IF($F22="",U$4,MIN(U$4,$F22))&lt;$E22,0,MAX(0,INT((IF($F22="",U$4,MIN(U$4,$F22))-$E22)/7)+1-MAX(0,ROUNDUP((U$3-$E22)/7,0)))),IF($G22=101,(AND(EOMONTH(U$3,0)&gt;=MAX(U$3,$E22),EOMONTH(U$3,0)&lt;=IF($F22="",U$4,MIN(U$4,$F22)))*1+AND(EOMONTH(U$4,0)&lt;&gt;EOMONTH(U$3,0),EOMONTH(U$4,0)&gt;=MAX(U$3,$E22),EOMONTH(U$4,0)&lt;=IF($F22="",U$4,MIN(U$4,$F22)))*1),IF($G22=102,(AND(WORKDAY(EOMONTH(U$3,0)+1,-3)&gt;=MAX(U$3,$E22),WORKDAY(EOMONTH(U$3,0)+1,-3)&lt;=IF($F22="",U$4,MIN(U$4,$F22)))*1+AND(WORKDAY(EOMONTH(U$4,0)+1,-3)&lt;&gt;WORKDAY(EOMONTH(U$3,0)+1,-3),WORKDAY(EOMONTH(U$4,0)+1,-3)&gt;=MAX(U$3,$E22),WORKDAY(EOMONTH(U$4,0)+1,-3)&lt;=IF($F22="",U$4,MIN(U$4,$F22)))*1),IF(AND(IF(EDATE($E22,MAX(0,ROUNDUP(((YEAR(U$3)-YEAR($E22))*12+MONTH(U$3)-MONTH($E22))/$G22,0)*$G22))&lt;U$3,EDATE($E22,MAX(0,ROUNDUP(((YEAR(U$3)-YEAR($E22))*12+MONTH(U$3)-MONTH($E22))/$G22,0)*$G22)+$G22),EDATE($E22,MAX(0,ROUNDUP(((YEAR(U$3)-YEAR($E22))*12+MONTH(U$3)-MONTH($E22))/$G22,0)*$G22)))&gt;=U$3,IF(EDATE($E22,MAX(0,ROUNDUP(((YEAR(U$3)-YEAR($E22))*12+MONTH(U$3)-MONTH($E22))/$G22,0)*$G22))&lt;U$3,EDATE($E22,MAX(0,ROUNDUP(((YEAR(U$3)-YEAR($E22))*12+MONTH(U$3)-MONTH($E22))/$G22,0)*$G22)+$G22),EDATE($E22,MAX(0,ROUNDUP(((YEAR(U$3)-YEAR($E22))*12+MONTH(U$3)-MONTH($E22))/$G22,0)*$G22)))&lt;=IF($F22="",U$4,MIN(U$4,$F22))),1,0)))))</f>
        <v>0</v>
      </c>
      <c r="V22" s="25" t="n">
        <f aca="false">IF(OR($C22="",$C22=0,$E22="",$B22="",$G22=-2),0,$C22*IF($G22=0,IF(IF($F22="",V$4,MIN(V$4,$F22))&lt;$E22,0,MAX(0,INT((IF($F22="",V$4,MIN(V$4,$F22))-$E22)/7)+1-MAX(0,ROUNDUP((V$3-$E22)/7,0)))),IF($G22=101,(AND(EOMONTH(V$3,0)&gt;=MAX(V$3,$E22),EOMONTH(V$3,0)&lt;=IF($F22="",V$4,MIN(V$4,$F22)))*1+AND(EOMONTH(V$4,0)&lt;&gt;EOMONTH(V$3,0),EOMONTH(V$4,0)&gt;=MAX(V$3,$E22),EOMONTH(V$4,0)&lt;=IF($F22="",V$4,MIN(V$4,$F22)))*1),IF($G22=102,(AND(WORKDAY(EOMONTH(V$3,0)+1,-3)&gt;=MAX(V$3,$E22),WORKDAY(EOMONTH(V$3,0)+1,-3)&lt;=IF($F22="",V$4,MIN(V$4,$F22)))*1+AND(WORKDAY(EOMONTH(V$4,0)+1,-3)&lt;&gt;WORKDAY(EOMONTH(V$3,0)+1,-3),WORKDAY(EOMONTH(V$4,0)+1,-3)&gt;=MAX(V$3,$E22),WORKDAY(EOMONTH(V$4,0)+1,-3)&lt;=IF($F22="",V$4,MIN(V$4,$F22)))*1),IF(AND(IF(EDATE($E22,MAX(0,ROUNDUP(((YEAR(V$3)-YEAR($E22))*12+MONTH(V$3)-MONTH($E22))/$G22,0)*$G22))&lt;V$3,EDATE($E22,MAX(0,ROUNDUP(((YEAR(V$3)-YEAR($E22))*12+MONTH(V$3)-MONTH($E22))/$G22,0)*$G22)+$G22),EDATE($E22,MAX(0,ROUNDUP(((YEAR(V$3)-YEAR($E22))*12+MONTH(V$3)-MONTH($E22))/$G22,0)*$G22)))&gt;=V$3,IF(EDATE($E22,MAX(0,ROUNDUP(((YEAR(V$3)-YEAR($E22))*12+MONTH(V$3)-MONTH($E22))/$G22,0)*$G22))&lt;V$3,EDATE($E22,MAX(0,ROUNDUP(((YEAR(V$3)-YEAR($E22))*12+MONTH(V$3)-MONTH($E22))/$G22,0)*$G22)+$G22),EDATE($E22,MAX(0,ROUNDUP(((YEAR(V$3)-YEAR($E22))*12+MONTH(V$3)-MONTH($E22))/$G22,0)*$G22)))&lt;=IF($F22="",V$4,MIN(V$4,$F22))),1,0)))))</f>
        <v>0</v>
      </c>
      <c r="W22" s="25" t="n">
        <f aca="false">IF(OR($C22="",$C22=0,$E22="",$B22="",$G22=-2),0,$C22*IF($G22=0,IF(IF($F22="",W$4,MIN(W$4,$F22))&lt;$E22,0,MAX(0,INT((IF($F22="",W$4,MIN(W$4,$F22))-$E22)/7)+1-MAX(0,ROUNDUP((W$3-$E22)/7,0)))),IF($G22=101,(AND(EOMONTH(W$3,0)&gt;=MAX(W$3,$E22),EOMONTH(W$3,0)&lt;=IF($F22="",W$4,MIN(W$4,$F22)))*1+AND(EOMONTH(W$4,0)&lt;&gt;EOMONTH(W$3,0),EOMONTH(W$4,0)&gt;=MAX(W$3,$E22),EOMONTH(W$4,0)&lt;=IF($F22="",W$4,MIN(W$4,$F22)))*1),IF($G22=102,(AND(WORKDAY(EOMONTH(W$3,0)+1,-3)&gt;=MAX(W$3,$E22),WORKDAY(EOMONTH(W$3,0)+1,-3)&lt;=IF($F22="",W$4,MIN(W$4,$F22)))*1+AND(WORKDAY(EOMONTH(W$4,0)+1,-3)&lt;&gt;WORKDAY(EOMONTH(W$3,0)+1,-3),WORKDAY(EOMONTH(W$4,0)+1,-3)&gt;=MAX(W$3,$E22),WORKDAY(EOMONTH(W$4,0)+1,-3)&lt;=IF($F22="",W$4,MIN(W$4,$F22)))*1),IF(AND(IF(EDATE($E22,MAX(0,ROUNDUP(((YEAR(W$3)-YEAR($E22))*12+MONTH(W$3)-MONTH($E22))/$G22,0)*$G22))&lt;W$3,EDATE($E22,MAX(0,ROUNDUP(((YEAR(W$3)-YEAR($E22))*12+MONTH(W$3)-MONTH($E22))/$G22,0)*$G22)+$G22),EDATE($E22,MAX(0,ROUNDUP(((YEAR(W$3)-YEAR($E22))*12+MONTH(W$3)-MONTH($E22))/$G22,0)*$G22)))&gt;=W$3,IF(EDATE($E22,MAX(0,ROUNDUP(((YEAR(W$3)-YEAR($E22))*12+MONTH(W$3)-MONTH($E22))/$G22,0)*$G22))&lt;W$3,EDATE($E22,MAX(0,ROUNDUP(((YEAR(W$3)-YEAR($E22))*12+MONTH(W$3)-MONTH($E22))/$G22,0)*$G22)+$G22),EDATE($E22,MAX(0,ROUNDUP(((YEAR(W$3)-YEAR($E22))*12+MONTH(W$3)-MONTH($E22))/$G22,0)*$G22)))&lt;=IF($F22="",W$4,MIN(W$4,$F22))),1,0)))))</f>
        <v>0</v>
      </c>
      <c r="X22" s="25" t="n">
        <f aca="false">IF(OR($C22="",$C22=0,$E22="",$B22="",$G22=-2),0,$C22*IF($G22=0,IF(IF($F22="",X$4,MIN(X$4,$F22))&lt;$E22,0,MAX(0,INT((IF($F22="",X$4,MIN(X$4,$F22))-$E22)/7)+1-MAX(0,ROUNDUP((X$3-$E22)/7,0)))),IF($G22=101,(AND(EOMONTH(X$3,0)&gt;=MAX(X$3,$E22),EOMONTH(X$3,0)&lt;=IF($F22="",X$4,MIN(X$4,$F22)))*1+AND(EOMONTH(X$4,0)&lt;&gt;EOMONTH(X$3,0),EOMONTH(X$4,0)&gt;=MAX(X$3,$E22),EOMONTH(X$4,0)&lt;=IF($F22="",X$4,MIN(X$4,$F22)))*1),IF($G22=102,(AND(WORKDAY(EOMONTH(X$3,0)+1,-3)&gt;=MAX(X$3,$E22),WORKDAY(EOMONTH(X$3,0)+1,-3)&lt;=IF($F22="",X$4,MIN(X$4,$F22)))*1+AND(WORKDAY(EOMONTH(X$4,0)+1,-3)&lt;&gt;WORKDAY(EOMONTH(X$3,0)+1,-3),WORKDAY(EOMONTH(X$4,0)+1,-3)&gt;=MAX(X$3,$E22),WORKDAY(EOMONTH(X$4,0)+1,-3)&lt;=IF($F22="",X$4,MIN(X$4,$F22)))*1),IF(AND(IF(EDATE($E22,MAX(0,ROUNDUP(((YEAR(X$3)-YEAR($E22))*12+MONTH(X$3)-MONTH($E22))/$G22,0)*$G22))&lt;X$3,EDATE($E22,MAX(0,ROUNDUP(((YEAR(X$3)-YEAR($E22))*12+MONTH(X$3)-MONTH($E22))/$G22,0)*$G22)+$G22),EDATE($E22,MAX(0,ROUNDUP(((YEAR(X$3)-YEAR($E22))*12+MONTH(X$3)-MONTH($E22))/$G22,0)*$G22)))&gt;=X$3,IF(EDATE($E22,MAX(0,ROUNDUP(((YEAR(X$3)-YEAR($E22))*12+MONTH(X$3)-MONTH($E22))/$G22,0)*$G22))&lt;X$3,EDATE($E22,MAX(0,ROUNDUP(((YEAR(X$3)-YEAR($E22))*12+MONTH(X$3)-MONTH($E22))/$G22,0)*$G22)+$G22),EDATE($E22,MAX(0,ROUNDUP(((YEAR(X$3)-YEAR($E22))*12+MONTH(X$3)-MONTH($E22))/$G22,0)*$G22)))&lt;=IF($F22="",X$4,MIN(X$4,$F22))),1,0)))))</f>
        <v>0</v>
      </c>
      <c r="Y22" s="25" t="n">
        <f aca="false">IF(OR($C22="",$C22=0,$E22="",$B22="",$G22=-2),0,$C22*IF($G22=0,IF(IF($F22="",Y$4,MIN(Y$4,$F22))&lt;$E22,0,MAX(0,INT((IF($F22="",Y$4,MIN(Y$4,$F22))-$E22)/7)+1-MAX(0,ROUNDUP((Y$3-$E22)/7,0)))),IF($G22=101,(AND(EOMONTH(Y$3,0)&gt;=MAX(Y$3,$E22),EOMONTH(Y$3,0)&lt;=IF($F22="",Y$4,MIN(Y$4,$F22)))*1+AND(EOMONTH(Y$4,0)&lt;&gt;EOMONTH(Y$3,0),EOMONTH(Y$4,0)&gt;=MAX(Y$3,$E22),EOMONTH(Y$4,0)&lt;=IF($F22="",Y$4,MIN(Y$4,$F22)))*1),IF($G22=102,(AND(WORKDAY(EOMONTH(Y$3,0)+1,-3)&gt;=MAX(Y$3,$E22),WORKDAY(EOMONTH(Y$3,0)+1,-3)&lt;=IF($F22="",Y$4,MIN(Y$4,$F22)))*1+AND(WORKDAY(EOMONTH(Y$4,0)+1,-3)&lt;&gt;WORKDAY(EOMONTH(Y$3,0)+1,-3),WORKDAY(EOMONTH(Y$4,0)+1,-3)&gt;=MAX(Y$3,$E22),WORKDAY(EOMONTH(Y$4,0)+1,-3)&lt;=IF($F22="",Y$4,MIN(Y$4,$F22)))*1),IF(AND(IF(EDATE($E22,MAX(0,ROUNDUP(((YEAR(Y$3)-YEAR($E22))*12+MONTH(Y$3)-MONTH($E22))/$G22,0)*$G22))&lt;Y$3,EDATE($E22,MAX(0,ROUNDUP(((YEAR(Y$3)-YEAR($E22))*12+MONTH(Y$3)-MONTH($E22))/$G22,0)*$G22)+$G22),EDATE($E22,MAX(0,ROUNDUP(((YEAR(Y$3)-YEAR($E22))*12+MONTH(Y$3)-MONTH($E22))/$G22,0)*$G22)))&gt;=Y$3,IF(EDATE($E22,MAX(0,ROUNDUP(((YEAR(Y$3)-YEAR($E22))*12+MONTH(Y$3)-MONTH($E22))/$G22,0)*$G22))&lt;Y$3,EDATE($E22,MAX(0,ROUNDUP(((YEAR(Y$3)-YEAR($E22))*12+MONTH(Y$3)-MONTH($E22))/$G22,0)*$G22)+$G22),EDATE($E22,MAX(0,ROUNDUP(((YEAR(Y$3)-YEAR($E22))*12+MONTH(Y$3)-MONTH($E22))/$G22,0)*$G22)))&lt;=IF($F22="",Y$4,MIN(Y$4,$F22))),1,0)))))</f>
        <v>0</v>
      </c>
      <c r="Z22" s="25" t="n">
        <f aca="false">IF(OR($C22="",$C22=0,$E22="",$B22="",$G22=-2),0,$C22*IF($G22=0,IF(IF($F22="",Z$4,MIN(Z$4,$F22))&lt;$E22,0,MAX(0,INT((IF($F22="",Z$4,MIN(Z$4,$F22))-$E22)/7)+1-MAX(0,ROUNDUP((Z$3-$E22)/7,0)))),IF($G22=101,(AND(EOMONTH(Z$3,0)&gt;=MAX(Z$3,$E22),EOMONTH(Z$3,0)&lt;=IF($F22="",Z$4,MIN(Z$4,$F22)))*1+AND(EOMONTH(Z$4,0)&lt;&gt;EOMONTH(Z$3,0),EOMONTH(Z$4,0)&gt;=MAX(Z$3,$E22),EOMONTH(Z$4,0)&lt;=IF($F22="",Z$4,MIN(Z$4,$F22)))*1),IF($G22=102,(AND(WORKDAY(EOMONTH(Z$3,0)+1,-3)&gt;=MAX(Z$3,$E22),WORKDAY(EOMONTH(Z$3,0)+1,-3)&lt;=IF($F22="",Z$4,MIN(Z$4,$F22)))*1+AND(WORKDAY(EOMONTH(Z$4,0)+1,-3)&lt;&gt;WORKDAY(EOMONTH(Z$3,0)+1,-3),WORKDAY(EOMONTH(Z$4,0)+1,-3)&gt;=MAX(Z$3,$E22),WORKDAY(EOMONTH(Z$4,0)+1,-3)&lt;=IF($F22="",Z$4,MIN(Z$4,$F22)))*1),IF(AND(IF(EDATE($E22,MAX(0,ROUNDUP(((YEAR(Z$3)-YEAR($E22))*12+MONTH(Z$3)-MONTH($E22))/$G22,0)*$G22))&lt;Z$3,EDATE($E22,MAX(0,ROUNDUP(((YEAR(Z$3)-YEAR($E22))*12+MONTH(Z$3)-MONTH($E22))/$G22,0)*$G22)+$G22),EDATE($E22,MAX(0,ROUNDUP(((YEAR(Z$3)-YEAR($E22))*12+MONTH(Z$3)-MONTH($E22))/$G22,0)*$G22)))&gt;=Z$3,IF(EDATE($E22,MAX(0,ROUNDUP(((YEAR(Z$3)-YEAR($E22))*12+MONTH(Z$3)-MONTH($E22))/$G22,0)*$G22))&lt;Z$3,EDATE($E22,MAX(0,ROUNDUP(((YEAR(Z$3)-YEAR($E22))*12+MONTH(Z$3)-MONTH($E22))/$G22,0)*$G22)+$G22),EDATE($E22,MAX(0,ROUNDUP(((YEAR(Z$3)-YEAR($E22))*12+MONTH(Z$3)-MONTH($E22))/$G22,0)*$G22)))&lt;=IF($F22="",Z$4,MIN(Z$4,$F22))),1,0)))))</f>
        <v>0</v>
      </c>
      <c r="AA22" s="25" t="n">
        <f aca="false">IF(OR($C22="",$C22=0,$E22="",$B22="",$G22=-2),0,$C22*IF($G22=0,IF(IF($F22="",AA$4,MIN(AA$4,$F22))&lt;$E22,0,MAX(0,INT((IF($F22="",AA$4,MIN(AA$4,$F22))-$E22)/7)+1-MAX(0,ROUNDUP((AA$3-$E22)/7,0)))),IF($G22=101,(AND(EOMONTH(AA$3,0)&gt;=MAX(AA$3,$E22),EOMONTH(AA$3,0)&lt;=IF($F22="",AA$4,MIN(AA$4,$F22)))*1+AND(EOMONTH(AA$4,0)&lt;&gt;EOMONTH(AA$3,0),EOMONTH(AA$4,0)&gt;=MAX(AA$3,$E22),EOMONTH(AA$4,0)&lt;=IF($F22="",AA$4,MIN(AA$4,$F22)))*1),IF($G22=102,(AND(WORKDAY(EOMONTH(AA$3,0)+1,-3)&gt;=MAX(AA$3,$E22),WORKDAY(EOMONTH(AA$3,0)+1,-3)&lt;=IF($F22="",AA$4,MIN(AA$4,$F22)))*1+AND(WORKDAY(EOMONTH(AA$4,0)+1,-3)&lt;&gt;WORKDAY(EOMONTH(AA$3,0)+1,-3),WORKDAY(EOMONTH(AA$4,0)+1,-3)&gt;=MAX(AA$3,$E22),WORKDAY(EOMONTH(AA$4,0)+1,-3)&lt;=IF($F22="",AA$4,MIN(AA$4,$F22)))*1),IF(AND(IF(EDATE($E22,MAX(0,ROUNDUP(((YEAR(AA$3)-YEAR($E22))*12+MONTH(AA$3)-MONTH($E22))/$G22,0)*$G22))&lt;AA$3,EDATE($E22,MAX(0,ROUNDUP(((YEAR(AA$3)-YEAR($E22))*12+MONTH(AA$3)-MONTH($E22))/$G22,0)*$G22)+$G22),EDATE($E22,MAX(0,ROUNDUP(((YEAR(AA$3)-YEAR($E22))*12+MONTH(AA$3)-MONTH($E22))/$G22,0)*$G22)))&gt;=AA$3,IF(EDATE($E22,MAX(0,ROUNDUP(((YEAR(AA$3)-YEAR($E22))*12+MONTH(AA$3)-MONTH($E22))/$G22,0)*$G22))&lt;AA$3,EDATE($E22,MAX(0,ROUNDUP(((YEAR(AA$3)-YEAR($E22))*12+MONTH(AA$3)-MONTH($E22))/$G22,0)*$G22)+$G22),EDATE($E22,MAX(0,ROUNDUP(((YEAR(AA$3)-YEAR($E22))*12+MONTH(AA$3)-MONTH($E22))/$G22,0)*$G22)))&lt;=IF($F22="",AA$4,MIN(AA$4,$F22))),1,0)))))</f>
        <v>0</v>
      </c>
      <c r="AB22" s="25" t="n">
        <f aca="false">IF(OR($C22="",$C22=0,$E22="",$B22="",$G22=-2),0,$C22*IF($G22=0,IF(IF($F22="",AB$4,MIN(AB$4,$F22))&lt;$E22,0,MAX(0,INT((IF($F22="",AB$4,MIN(AB$4,$F22))-$E22)/7)+1-MAX(0,ROUNDUP((AB$3-$E22)/7,0)))),IF($G22=101,(AND(EOMONTH(AB$3,0)&gt;=MAX(AB$3,$E22),EOMONTH(AB$3,0)&lt;=IF($F22="",AB$4,MIN(AB$4,$F22)))*1+AND(EOMONTH(AB$4,0)&lt;&gt;EOMONTH(AB$3,0),EOMONTH(AB$4,0)&gt;=MAX(AB$3,$E22),EOMONTH(AB$4,0)&lt;=IF($F22="",AB$4,MIN(AB$4,$F22)))*1),IF($G22=102,(AND(WORKDAY(EOMONTH(AB$3,0)+1,-3)&gt;=MAX(AB$3,$E22),WORKDAY(EOMONTH(AB$3,0)+1,-3)&lt;=IF($F22="",AB$4,MIN(AB$4,$F22)))*1+AND(WORKDAY(EOMONTH(AB$4,0)+1,-3)&lt;&gt;WORKDAY(EOMONTH(AB$3,0)+1,-3),WORKDAY(EOMONTH(AB$4,0)+1,-3)&gt;=MAX(AB$3,$E22),WORKDAY(EOMONTH(AB$4,0)+1,-3)&lt;=IF($F22="",AB$4,MIN(AB$4,$F22)))*1),IF(AND(IF(EDATE($E22,MAX(0,ROUNDUP(((YEAR(AB$3)-YEAR($E22))*12+MONTH(AB$3)-MONTH($E22))/$G22,0)*$G22))&lt;AB$3,EDATE($E22,MAX(0,ROUNDUP(((YEAR(AB$3)-YEAR($E22))*12+MONTH(AB$3)-MONTH($E22))/$G22,0)*$G22)+$G22),EDATE($E22,MAX(0,ROUNDUP(((YEAR(AB$3)-YEAR($E22))*12+MONTH(AB$3)-MONTH($E22))/$G22,0)*$G22)))&gt;=AB$3,IF(EDATE($E22,MAX(0,ROUNDUP(((YEAR(AB$3)-YEAR($E22))*12+MONTH(AB$3)-MONTH($E22))/$G22,0)*$G22))&lt;AB$3,EDATE($E22,MAX(0,ROUNDUP(((YEAR(AB$3)-YEAR($E22))*12+MONTH(AB$3)-MONTH($E22))/$G22,0)*$G22)+$G22),EDATE($E22,MAX(0,ROUNDUP(((YEAR(AB$3)-YEAR($E22))*12+MONTH(AB$3)-MONTH($E22))/$G22,0)*$G22)))&lt;=IF($F22="",AB$4,MIN(AB$4,$F22))),1,0)))))</f>
        <v>0</v>
      </c>
      <c r="AC22" s="25" t="n">
        <f aca="false">IF(OR($C22="",$C22=0,$E22="",$B22="",$G22=-2),0,$C22*IF($G22=0,IF(IF($F22="",AC$4,MIN(AC$4,$F22))&lt;$E22,0,MAX(0,INT((IF($F22="",AC$4,MIN(AC$4,$F22))-$E22)/7)+1-MAX(0,ROUNDUP((AC$3-$E22)/7,0)))),IF($G22=101,(AND(EOMONTH(AC$3,0)&gt;=MAX(AC$3,$E22),EOMONTH(AC$3,0)&lt;=IF($F22="",AC$4,MIN(AC$4,$F22)))*1+AND(EOMONTH(AC$4,0)&lt;&gt;EOMONTH(AC$3,0),EOMONTH(AC$4,0)&gt;=MAX(AC$3,$E22),EOMONTH(AC$4,0)&lt;=IF($F22="",AC$4,MIN(AC$4,$F22)))*1),IF($G22=102,(AND(WORKDAY(EOMONTH(AC$3,0)+1,-3)&gt;=MAX(AC$3,$E22),WORKDAY(EOMONTH(AC$3,0)+1,-3)&lt;=IF($F22="",AC$4,MIN(AC$4,$F22)))*1+AND(WORKDAY(EOMONTH(AC$4,0)+1,-3)&lt;&gt;WORKDAY(EOMONTH(AC$3,0)+1,-3),WORKDAY(EOMONTH(AC$4,0)+1,-3)&gt;=MAX(AC$3,$E22),WORKDAY(EOMONTH(AC$4,0)+1,-3)&lt;=IF($F22="",AC$4,MIN(AC$4,$F22)))*1),IF(AND(IF(EDATE($E22,MAX(0,ROUNDUP(((YEAR(AC$3)-YEAR($E22))*12+MONTH(AC$3)-MONTH($E22))/$G22,0)*$G22))&lt;AC$3,EDATE($E22,MAX(0,ROUNDUP(((YEAR(AC$3)-YEAR($E22))*12+MONTH(AC$3)-MONTH($E22))/$G22,0)*$G22)+$G22),EDATE($E22,MAX(0,ROUNDUP(((YEAR(AC$3)-YEAR($E22))*12+MONTH(AC$3)-MONTH($E22))/$G22,0)*$G22)))&gt;=AC$3,IF(EDATE($E22,MAX(0,ROUNDUP(((YEAR(AC$3)-YEAR($E22))*12+MONTH(AC$3)-MONTH($E22))/$G22,0)*$G22))&lt;AC$3,EDATE($E22,MAX(0,ROUNDUP(((YEAR(AC$3)-YEAR($E22))*12+MONTH(AC$3)-MONTH($E22))/$G22,0)*$G22)+$G22),EDATE($E22,MAX(0,ROUNDUP(((YEAR(AC$3)-YEAR($E22))*12+MONTH(AC$3)-MONTH($E22))/$G22,0)*$G22)))&lt;=IF($F22="",AC$4,MIN(AC$4,$F22))),1,0)))))</f>
        <v>0</v>
      </c>
      <c r="AD22" s="25" t="n">
        <f aca="false">IF(OR($C22="",$C22=0,$E22="",$B22="",$G22=-2),0,$C22*IF($G22=0,IF(IF($F22="",AD$4,MIN(AD$4,$F22))&lt;$E22,0,MAX(0,INT((IF($F22="",AD$4,MIN(AD$4,$F22))-$E22)/7)+1-MAX(0,ROUNDUP((AD$3-$E22)/7,0)))),IF($G22=101,(AND(EOMONTH(AD$3,0)&gt;=MAX(AD$3,$E22),EOMONTH(AD$3,0)&lt;=IF($F22="",AD$4,MIN(AD$4,$F22)))*1+AND(EOMONTH(AD$4,0)&lt;&gt;EOMONTH(AD$3,0),EOMONTH(AD$4,0)&gt;=MAX(AD$3,$E22),EOMONTH(AD$4,0)&lt;=IF($F22="",AD$4,MIN(AD$4,$F22)))*1),IF($G22=102,(AND(WORKDAY(EOMONTH(AD$3,0)+1,-3)&gt;=MAX(AD$3,$E22),WORKDAY(EOMONTH(AD$3,0)+1,-3)&lt;=IF($F22="",AD$4,MIN(AD$4,$F22)))*1+AND(WORKDAY(EOMONTH(AD$4,0)+1,-3)&lt;&gt;WORKDAY(EOMONTH(AD$3,0)+1,-3),WORKDAY(EOMONTH(AD$4,0)+1,-3)&gt;=MAX(AD$3,$E22),WORKDAY(EOMONTH(AD$4,0)+1,-3)&lt;=IF($F22="",AD$4,MIN(AD$4,$F22)))*1),IF(AND(IF(EDATE($E22,MAX(0,ROUNDUP(((YEAR(AD$3)-YEAR($E22))*12+MONTH(AD$3)-MONTH($E22))/$G22,0)*$G22))&lt;AD$3,EDATE($E22,MAX(0,ROUNDUP(((YEAR(AD$3)-YEAR($E22))*12+MONTH(AD$3)-MONTH($E22))/$G22,0)*$G22)+$G22),EDATE($E22,MAX(0,ROUNDUP(((YEAR(AD$3)-YEAR($E22))*12+MONTH(AD$3)-MONTH($E22))/$G22,0)*$G22)))&gt;=AD$3,IF(EDATE($E22,MAX(0,ROUNDUP(((YEAR(AD$3)-YEAR($E22))*12+MONTH(AD$3)-MONTH($E22))/$G22,0)*$G22))&lt;AD$3,EDATE($E22,MAX(0,ROUNDUP(((YEAR(AD$3)-YEAR($E22))*12+MONTH(AD$3)-MONTH($E22))/$G22,0)*$G22)+$G22),EDATE($E22,MAX(0,ROUNDUP(((YEAR(AD$3)-YEAR($E22))*12+MONTH(AD$3)-MONTH($E22))/$G22,0)*$G22)))&lt;=IF($F22="",AD$4,MIN(AD$4,$F22))),1,0)))))</f>
        <v>0</v>
      </c>
      <c r="AE22" s="25" t="n">
        <f aca="false">IF(OR($C22="",$C22=0,$E22="",$B22="",$G22=-2),0,$C22*IF($G22=0,IF(IF($F22="",AE$4,MIN(AE$4,$F22))&lt;$E22,0,MAX(0,INT((IF($F22="",AE$4,MIN(AE$4,$F22))-$E22)/7)+1-MAX(0,ROUNDUP((AE$3-$E22)/7,0)))),IF($G22=101,(AND(EOMONTH(AE$3,0)&gt;=MAX(AE$3,$E22),EOMONTH(AE$3,0)&lt;=IF($F22="",AE$4,MIN(AE$4,$F22)))*1+AND(EOMONTH(AE$4,0)&lt;&gt;EOMONTH(AE$3,0),EOMONTH(AE$4,0)&gt;=MAX(AE$3,$E22),EOMONTH(AE$4,0)&lt;=IF($F22="",AE$4,MIN(AE$4,$F22)))*1),IF($G22=102,(AND(WORKDAY(EOMONTH(AE$3,0)+1,-3)&gt;=MAX(AE$3,$E22),WORKDAY(EOMONTH(AE$3,0)+1,-3)&lt;=IF($F22="",AE$4,MIN(AE$4,$F22)))*1+AND(WORKDAY(EOMONTH(AE$4,0)+1,-3)&lt;&gt;WORKDAY(EOMONTH(AE$3,0)+1,-3),WORKDAY(EOMONTH(AE$4,0)+1,-3)&gt;=MAX(AE$3,$E22),WORKDAY(EOMONTH(AE$4,0)+1,-3)&lt;=IF($F22="",AE$4,MIN(AE$4,$F22)))*1),IF(AND(IF(EDATE($E22,MAX(0,ROUNDUP(((YEAR(AE$3)-YEAR($E22))*12+MONTH(AE$3)-MONTH($E22))/$G22,0)*$G22))&lt;AE$3,EDATE($E22,MAX(0,ROUNDUP(((YEAR(AE$3)-YEAR($E22))*12+MONTH(AE$3)-MONTH($E22))/$G22,0)*$G22)+$G22),EDATE($E22,MAX(0,ROUNDUP(((YEAR(AE$3)-YEAR($E22))*12+MONTH(AE$3)-MONTH($E22))/$G22,0)*$G22)))&gt;=AE$3,IF(EDATE($E22,MAX(0,ROUNDUP(((YEAR(AE$3)-YEAR($E22))*12+MONTH(AE$3)-MONTH($E22))/$G22,0)*$G22))&lt;AE$3,EDATE($E22,MAX(0,ROUNDUP(((YEAR(AE$3)-YEAR($E22))*12+MONTH(AE$3)-MONTH($E22))/$G22,0)*$G22)+$G22),EDATE($E22,MAX(0,ROUNDUP(((YEAR(AE$3)-YEAR($E22))*12+MONTH(AE$3)-MONTH($E22))/$G22,0)*$G22)))&lt;=IF($F22="",AE$4,MIN(AE$4,$F22))),1,0)))))</f>
        <v>0</v>
      </c>
      <c r="AF22" s="25" t="n">
        <f aca="false">IF(OR($C22="",$C22=0,$E22="",$B22="",$G22=-2),0,$C22*IF($G22=0,IF(IF($F22="",AF$4,MIN(AF$4,$F22))&lt;$E22,0,MAX(0,INT((IF($F22="",AF$4,MIN(AF$4,$F22))-$E22)/7)+1-MAX(0,ROUNDUP((AF$3-$E22)/7,0)))),IF($G22=101,(AND(EOMONTH(AF$3,0)&gt;=MAX(AF$3,$E22),EOMONTH(AF$3,0)&lt;=IF($F22="",AF$4,MIN(AF$4,$F22)))*1+AND(EOMONTH(AF$4,0)&lt;&gt;EOMONTH(AF$3,0),EOMONTH(AF$4,0)&gt;=MAX(AF$3,$E22),EOMONTH(AF$4,0)&lt;=IF($F22="",AF$4,MIN(AF$4,$F22)))*1),IF($G22=102,(AND(WORKDAY(EOMONTH(AF$3,0)+1,-3)&gt;=MAX(AF$3,$E22),WORKDAY(EOMONTH(AF$3,0)+1,-3)&lt;=IF($F22="",AF$4,MIN(AF$4,$F22)))*1+AND(WORKDAY(EOMONTH(AF$4,0)+1,-3)&lt;&gt;WORKDAY(EOMONTH(AF$3,0)+1,-3),WORKDAY(EOMONTH(AF$4,0)+1,-3)&gt;=MAX(AF$3,$E22),WORKDAY(EOMONTH(AF$4,0)+1,-3)&lt;=IF($F22="",AF$4,MIN(AF$4,$F22)))*1),IF(AND(IF(EDATE($E22,MAX(0,ROUNDUP(((YEAR(AF$3)-YEAR($E22))*12+MONTH(AF$3)-MONTH($E22))/$G22,0)*$G22))&lt;AF$3,EDATE($E22,MAX(0,ROUNDUP(((YEAR(AF$3)-YEAR($E22))*12+MONTH(AF$3)-MONTH($E22))/$G22,0)*$G22)+$G22),EDATE($E22,MAX(0,ROUNDUP(((YEAR(AF$3)-YEAR($E22))*12+MONTH(AF$3)-MONTH($E22))/$G22,0)*$G22)))&gt;=AF$3,IF(EDATE($E22,MAX(0,ROUNDUP(((YEAR(AF$3)-YEAR($E22))*12+MONTH(AF$3)-MONTH($E22))/$G22,0)*$G22))&lt;AF$3,EDATE($E22,MAX(0,ROUNDUP(((YEAR(AF$3)-YEAR($E22))*12+MONTH(AF$3)-MONTH($E22))/$G22,0)*$G22)+$G22),EDATE($E22,MAX(0,ROUNDUP(((YEAR(AF$3)-YEAR($E22))*12+MONTH(AF$3)-MONTH($E22))/$G22,0)*$G22)))&lt;=IF($F22="",AF$4,MIN(AF$4,$F22))),1,0)))))</f>
        <v>0</v>
      </c>
    </row>
    <row r="23" customFormat="false" ht="15" hidden="false" customHeight="false" outlineLevel="0" collapsed="false">
      <c r="A23" s="5"/>
      <c r="B23" s="5"/>
      <c r="C23" s="8"/>
      <c r="D23" s="5"/>
      <c r="E23" s="7"/>
      <c r="F23" s="7"/>
      <c r="G23" s="24" t="n">
        <f aca="false">IFERROR(INDEX(Listen!$E$2:$E$8,MATCH(D23,Listen!$D$2:$D$8,0)),-2)</f>
        <v>-2</v>
      </c>
      <c r="H23" s="25" t="n">
        <f aca="false">IF(OR($C23="",$C23=0,$E23="",$B23="",$G23=-2),0,$C23*IF($G23=0,IF(IF($F23="",H$4,MIN(H$4,$F23))&lt;$E23,0,MAX(0,INT((IF($F23="",H$4,MIN(H$4,$F23))-$E23)/7)+1-MAX(0,ROUNDUP((H$3-$E23)/7,0)))),IF($G23=101,(AND(EOMONTH(H$3,0)&gt;=MAX(H$3,$E23),EOMONTH(H$3,0)&lt;=IF($F23="",H$4,MIN(H$4,$F23)))*1+AND(EOMONTH(H$4,0)&lt;&gt;EOMONTH(H$3,0),EOMONTH(H$4,0)&gt;=MAX(H$3,$E23),EOMONTH(H$4,0)&lt;=IF($F23="",H$4,MIN(H$4,$F23)))*1),IF($G23=102,(AND(WORKDAY(EOMONTH(H$3,0)+1,-3)&gt;=MAX(H$3,$E23),WORKDAY(EOMONTH(H$3,0)+1,-3)&lt;=IF($F23="",H$4,MIN(H$4,$F23)))*1+AND(WORKDAY(EOMONTH(H$4,0)+1,-3)&lt;&gt;WORKDAY(EOMONTH(H$3,0)+1,-3),WORKDAY(EOMONTH(H$4,0)+1,-3)&gt;=MAX(H$3,$E23),WORKDAY(EOMONTH(H$4,0)+1,-3)&lt;=IF($F23="",H$4,MIN(H$4,$F23)))*1),IF(AND(IF(EDATE($E23,MAX(0,ROUNDUP(((YEAR(H$3)-YEAR($E23))*12+MONTH(H$3)-MONTH($E23))/$G23,0)*$G23))&lt;H$3,EDATE($E23,MAX(0,ROUNDUP(((YEAR(H$3)-YEAR($E23))*12+MONTH(H$3)-MONTH($E23))/$G23,0)*$G23)+$G23),EDATE($E23,MAX(0,ROUNDUP(((YEAR(H$3)-YEAR($E23))*12+MONTH(H$3)-MONTH($E23))/$G23,0)*$G23)))&gt;=H$3,IF(EDATE($E23,MAX(0,ROUNDUP(((YEAR(H$3)-YEAR($E23))*12+MONTH(H$3)-MONTH($E23))/$G23,0)*$G23))&lt;H$3,EDATE($E23,MAX(0,ROUNDUP(((YEAR(H$3)-YEAR($E23))*12+MONTH(H$3)-MONTH($E23))/$G23,0)*$G23)+$G23),EDATE($E23,MAX(0,ROUNDUP(((YEAR(H$3)-YEAR($E23))*12+MONTH(H$3)-MONTH($E23))/$G23,0)*$G23)))&lt;=IF($F23="",H$4,MIN(H$4,$F23))),1,0)))))</f>
        <v>0</v>
      </c>
      <c r="I23" s="25" t="n">
        <f aca="false">IF(OR($C23="",$C23=0,$E23="",$B23="",$G23=-2),0,$C23*IF($G23=0,IF(IF($F23="",I$4,MIN(I$4,$F23))&lt;$E23,0,MAX(0,INT((IF($F23="",I$4,MIN(I$4,$F23))-$E23)/7)+1-MAX(0,ROUNDUP((I$3-$E23)/7,0)))),IF($G23=101,(AND(EOMONTH(I$3,0)&gt;=MAX(I$3,$E23),EOMONTH(I$3,0)&lt;=IF($F23="",I$4,MIN(I$4,$F23)))*1+AND(EOMONTH(I$4,0)&lt;&gt;EOMONTH(I$3,0),EOMONTH(I$4,0)&gt;=MAX(I$3,$E23),EOMONTH(I$4,0)&lt;=IF($F23="",I$4,MIN(I$4,$F23)))*1),IF($G23=102,(AND(WORKDAY(EOMONTH(I$3,0)+1,-3)&gt;=MAX(I$3,$E23),WORKDAY(EOMONTH(I$3,0)+1,-3)&lt;=IF($F23="",I$4,MIN(I$4,$F23)))*1+AND(WORKDAY(EOMONTH(I$4,0)+1,-3)&lt;&gt;WORKDAY(EOMONTH(I$3,0)+1,-3),WORKDAY(EOMONTH(I$4,0)+1,-3)&gt;=MAX(I$3,$E23),WORKDAY(EOMONTH(I$4,0)+1,-3)&lt;=IF($F23="",I$4,MIN(I$4,$F23)))*1),IF(AND(IF(EDATE($E23,MAX(0,ROUNDUP(((YEAR(I$3)-YEAR($E23))*12+MONTH(I$3)-MONTH($E23))/$G23,0)*$G23))&lt;I$3,EDATE($E23,MAX(0,ROUNDUP(((YEAR(I$3)-YEAR($E23))*12+MONTH(I$3)-MONTH($E23))/$G23,0)*$G23)+$G23),EDATE($E23,MAX(0,ROUNDUP(((YEAR(I$3)-YEAR($E23))*12+MONTH(I$3)-MONTH($E23))/$G23,0)*$G23)))&gt;=I$3,IF(EDATE($E23,MAX(0,ROUNDUP(((YEAR(I$3)-YEAR($E23))*12+MONTH(I$3)-MONTH($E23))/$G23,0)*$G23))&lt;I$3,EDATE($E23,MAX(0,ROUNDUP(((YEAR(I$3)-YEAR($E23))*12+MONTH(I$3)-MONTH($E23))/$G23,0)*$G23)+$G23),EDATE($E23,MAX(0,ROUNDUP(((YEAR(I$3)-YEAR($E23))*12+MONTH(I$3)-MONTH($E23))/$G23,0)*$G23)))&lt;=IF($F23="",I$4,MIN(I$4,$F23))),1,0)))))</f>
        <v>0</v>
      </c>
      <c r="J23" s="25" t="n">
        <f aca="false">IF(OR($C23="",$C23=0,$E23="",$B23="",$G23=-2),0,$C23*IF($G23=0,IF(IF($F23="",J$4,MIN(J$4,$F23))&lt;$E23,0,MAX(0,INT((IF($F23="",J$4,MIN(J$4,$F23))-$E23)/7)+1-MAX(0,ROUNDUP((J$3-$E23)/7,0)))),IF($G23=101,(AND(EOMONTH(J$3,0)&gt;=MAX(J$3,$E23),EOMONTH(J$3,0)&lt;=IF($F23="",J$4,MIN(J$4,$F23)))*1+AND(EOMONTH(J$4,0)&lt;&gt;EOMONTH(J$3,0),EOMONTH(J$4,0)&gt;=MAX(J$3,$E23),EOMONTH(J$4,0)&lt;=IF($F23="",J$4,MIN(J$4,$F23)))*1),IF($G23=102,(AND(WORKDAY(EOMONTH(J$3,0)+1,-3)&gt;=MAX(J$3,$E23),WORKDAY(EOMONTH(J$3,0)+1,-3)&lt;=IF($F23="",J$4,MIN(J$4,$F23)))*1+AND(WORKDAY(EOMONTH(J$4,0)+1,-3)&lt;&gt;WORKDAY(EOMONTH(J$3,0)+1,-3),WORKDAY(EOMONTH(J$4,0)+1,-3)&gt;=MAX(J$3,$E23),WORKDAY(EOMONTH(J$4,0)+1,-3)&lt;=IF($F23="",J$4,MIN(J$4,$F23)))*1),IF(AND(IF(EDATE($E23,MAX(0,ROUNDUP(((YEAR(J$3)-YEAR($E23))*12+MONTH(J$3)-MONTH($E23))/$G23,0)*$G23))&lt;J$3,EDATE($E23,MAX(0,ROUNDUP(((YEAR(J$3)-YEAR($E23))*12+MONTH(J$3)-MONTH($E23))/$G23,0)*$G23)+$G23),EDATE($E23,MAX(0,ROUNDUP(((YEAR(J$3)-YEAR($E23))*12+MONTH(J$3)-MONTH($E23))/$G23,0)*$G23)))&gt;=J$3,IF(EDATE($E23,MAX(0,ROUNDUP(((YEAR(J$3)-YEAR($E23))*12+MONTH(J$3)-MONTH($E23))/$G23,0)*$G23))&lt;J$3,EDATE($E23,MAX(0,ROUNDUP(((YEAR(J$3)-YEAR($E23))*12+MONTH(J$3)-MONTH($E23))/$G23,0)*$G23)+$G23),EDATE($E23,MAX(0,ROUNDUP(((YEAR(J$3)-YEAR($E23))*12+MONTH(J$3)-MONTH($E23))/$G23,0)*$G23)))&lt;=IF($F23="",J$4,MIN(J$4,$F23))),1,0)))))</f>
        <v>0</v>
      </c>
      <c r="K23" s="25" t="n">
        <f aca="false">IF(OR($C23="",$C23=0,$E23="",$B23="",$G23=-2),0,$C23*IF($G23=0,IF(IF($F23="",K$4,MIN(K$4,$F23))&lt;$E23,0,MAX(0,INT((IF($F23="",K$4,MIN(K$4,$F23))-$E23)/7)+1-MAX(0,ROUNDUP((K$3-$E23)/7,0)))),IF($G23=101,(AND(EOMONTH(K$3,0)&gt;=MAX(K$3,$E23),EOMONTH(K$3,0)&lt;=IF($F23="",K$4,MIN(K$4,$F23)))*1+AND(EOMONTH(K$4,0)&lt;&gt;EOMONTH(K$3,0),EOMONTH(K$4,0)&gt;=MAX(K$3,$E23),EOMONTH(K$4,0)&lt;=IF($F23="",K$4,MIN(K$4,$F23)))*1),IF($G23=102,(AND(WORKDAY(EOMONTH(K$3,0)+1,-3)&gt;=MAX(K$3,$E23),WORKDAY(EOMONTH(K$3,0)+1,-3)&lt;=IF($F23="",K$4,MIN(K$4,$F23)))*1+AND(WORKDAY(EOMONTH(K$4,0)+1,-3)&lt;&gt;WORKDAY(EOMONTH(K$3,0)+1,-3),WORKDAY(EOMONTH(K$4,0)+1,-3)&gt;=MAX(K$3,$E23),WORKDAY(EOMONTH(K$4,0)+1,-3)&lt;=IF($F23="",K$4,MIN(K$4,$F23)))*1),IF(AND(IF(EDATE($E23,MAX(0,ROUNDUP(((YEAR(K$3)-YEAR($E23))*12+MONTH(K$3)-MONTH($E23))/$G23,0)*$G23))&lt;K$3,EDATE($E23,MAX(0,ROUNDUP(((YEAR(K$3)-YEAR($E23))*12+MONTH(K$3)-MONTH($E23))/$G23,0)*$G23)+$G23),EDATE($E23,MAX(0,ROUNDUP(((YEAR(K$3)-YEAR($E23))*12+MONTH(K$3)-MONTH($E23))/$G23,0)*$G23)))&gt;=K$3,IF(EDATE($E23,MAX(0,ROUNDUP(((YEAR(K$3)-YEAR($E23))*12+MONTH(K$3)-MONTH($E23))/$G23,0)*$G23))&lt;K$3,EDATE($E23,MAX(0,ROUNDUP(((YEAR(K$3)-YEAR($E23))*12+MONTH(K$3)-MONTH($E23))/$G23,0)*$G23)+$G23),EDATE($E23,MAX(0,ROUNDUP(((YEAR(K$3)-YEAR($E23))*12+MONTH(K$3)-MONTH($E23))/$G23,0)*$G23)))&lt;=IF($F23="",K$4,MIN(K$4,$F23))),1,0)))))</f>
        <v>0</v>
      </c>
      <c r="L23" s="25" t="n">
        <f aca="false">IF(OR($C23="",$C23=0,$E23="",$B23="",$G23=-2),0,$C23*IF($G23=0,IF(IF($F23="",L$4,MIN(L$4,$F23))&lt;$E23,0,MAX(0,INT((IF($F23="",L$4,MIN(L$4,$F23))-$E23)/7)+1-MAX(0,ROUNDUP((L$3-$E23)/7,0)))),IF($G23=101,(AND(EOMONTH(L$3,0)&gt;=MAX(L$3,$E23),EOMONTH(L$3,0)&lt;=IF($F23="",L$4,MIN(L$4,$F23)))*1+AND(EOMONTH(L$4,0)&lt;&gt;EOMONTH(L$3,0),EOMONTH(L$4,0)&gt;=MAX(L$3,$E23),EOMONTH(L$4,0)&lt;=IF($F23="",L$4,MIN(L$4,$F23)))*1),IF($G23=102,(AND(WORKDAY(EOMONTH(L$3,0)+1,-3)&gt;=MAX(L$3,$E23),WORKDAY(EOMONTH(L$3,0)+1,-3)&lt;=IF($F23="",L$4,MIN(L$4,$F23)))*1+AND(WORKDAY(EOMONTH(L$4,0)+1,-3)&lt;&gt;WORKDAY(EOMONTH(L$3,0)+1,-3),WORKDAY(EOMONTH(L$4,0)+1,-3)&gt;=MAX(L$3,$E23),WORKDAY(EOMONTH(L$4,0)+1,-3)&lt;=IF($F23="",L$4,MIN(L$4,$F23)))*1),IF(AND(IF(EDATE($E23,MAX(0,ROUNDUP(((YEAR(L$3)-YEAR($E23))*12+MONTH(L$3)-MONTH($E23))/$G23,0)*$G23))&lt;L$3,EDATE($E23,MAX(0,ROUNDUP(((YEAR(L$3)-YEAR($E23))*12+MONTH(L$3)-MONTH($E23))/$G23,0)*$G23)+$G23),EDATE($E23,MAX(0,ROUNDUP(((YEAR(L$3)-YEAR($E23))*12+MONTH(L$3)-MONTH($E23))/$G23,0)*$G23)))&gt;=L$3,IF(EDATE($E23,MAX(0,ROUNDUP(((YEAR(L$3)-YEAR($E23))*12+MONTH(L$3)-MONTH($E23))/$G23,0)*$G23))&lt;L$3,EDATE($E23,MAX(0,ROUNDUP(((YEAR(L$3)-YEAR($E23))*12+MONTH(L$3)-MONTH($E23))/$G23,0)*$G23)+$G23),EDATE($E23,MAX(0,ROUNDUP(((YEAR(L$3)-YEAR($E23))*12+MONTH(L$3)-MONTH($E23))/$G23,0)*$G23)))&lt;=IF($F23="",L$4,MIN(L$4,$F23))),1,0)))))</f>
        <v>0</v>
      </c>
      <c r="M23" s="25" t="n">
        <f aca="false">IF(OR($C23="",$C23=0,$E23="",$B23="",$G23=-2),0,$C23*IF($G23=0,IF(IF($F23="",M$4,MIN(M$4,$F23))&lt;$E23,0,MAX(0,INT((IF($F23="",M$4,MIN(M$4,$F23))-$E23)/7)+1-MAX(0,ROUNDUP((M$3-$E23)/7,0)))),IF($G23=101,(AND(EOMONTH(M$3,0)&gt;=MAX(M$3,$E23),EOMONTH(M$3,0)&lt;=IF($F23="",M$4,MIN(M$4,$F23)))*1+AND(EOMONTH(M$4,0)&lt;&gt;EOMONTH(M$3,0),EOMONTH(M$4,0)&gt;=MAX(M$3,$E23),EOMONTH(M$4,0)&lt;=IF($F23="",M$4,MIN(M$4,$F23)))*1),IF($G23=102,(AND(WORKDAY(EOMONTH(M$3,0)+1,-3)&gt;=MAX(M$3,$E23),WORKDAY(EOMONTH(M$3,0)+1,-3)&lt;=IF($F23="",M$4,MIN(M$4,$F23)))*1+AND(WORKDAY(EOMONTH(M$4,0)+1,-3)&lt;&gt;WORKDAY(EOMONTH(M$3,0)+1,-3),WORKDAY(EOMONTH(M$4,0)+1,-3)&gt;=MAX(M$3,$E23),WORKDAY(EOMONTH(M$4,0)+1,-3)&lt;=IF($F23="",M$4,MIN(M$4,$F23)))*1),IF(AND(IF(EDATE($E23,MAX(0,ROUNDUP(((YEAR(M$3)-YEAR($E23))*12+MONTH(M$3)-MONTH($E23))/$G23,0)*$G23))&lt;M$3,EDATE($E23,MAX(0,ROUNDUP(((YEAR(M$3)-YEAR($E23))*12+MONTH(M$3)-MONTH($E23))/$G23,0)*$G23)+$G23),EDATE($E23,MAX(0,ROUNDUP(((YEAR(M$3)-YEAR($E23))*12+MONTH(M$3)-MONTH($E23))/$G23,0)*$G23)))&gt;=M$3,IF(EDATE($E23,MAX(0,ROUNDUP(((YEAR(M$3)-YEAR($E23))*12+MONTH(M$3)-MONTH($E23))/$G23,0)*$G23))&lt;M$3,EDATE($E23,MAX(0,ROUNDUP(((YEAR(M$3)-YEAR($E23))*12+MONTH(M$3)-MONTH($E23))/$G23,0)*$G23)+$G23),EDATE($E23,MAX(0,ROUNDUP(((YEAR(M$3)-YEAR($E23))*12+MONTH(M$3)-MONTH($E23))/$G23,0)*$G23)))&lt;=IF($F23="",M$4,MIN(M$4,$F23))),1,0)))))</f>
        <v>0</v>
      </c>
      <c r="N23" s="25" t="n">
        <f aca="false">IF(OR($C23="",$C23=0,$E23="",$B23="",$G23=-2),0,$C23*IF($G23=0,IF(IF($F23="",N$4,MIN(N$4,$F23))&lt;$E23,0,MAX(0,INT((IF($F23="",N$4,MIN(N$4,$F23))-$E23)/7)+1-MAX(0,ROUNDUP((N$3-$E23)/7,0)))),IF($G23=101,(AND(EOMONTH(N$3,0)&gt;=MAX(N$3,$E23),EOMONTH(N$3,0)&lt;=IF($F23="",N$4,MIN(N$4,$F23)))*1+AND(EOMONTH(N$4,0)&lt;&gt;EOMONTH(N$3,0),EOMONTH(N$4,0)&gt;=MAX(N$3,$E23),EOMONTH(N$4,0)&lt;=IF($F23="",N$4,MIN(N$4,$F23)))*1),IF($G23=102,(AND(WORKDAY(EOMONTH(N$3,0)+1,-3)&gt;=MAX(N$3,$E23),WORKDAY(EOMONTH(N$3,0)+1,-3)&lt;=IF($F23="",N$4,MIN(N$4,$F23)))*1+AND(WORKDAY(EOMONTH(N$4,0)+1,-3)&lt;&gt;WORKDAY(EOMONTH(N$3,0)+1,-3),WORKDAY(EOMONTH(N$4,0)+1,-3)&gt;=MAX(N$3,$E23),WORKDAY(EOMONTH(N$4,0)+1,-3)&lt;=IF($F23="",N$4,MIN(N$4,$F23)))*1),IF(AND(IF(EDATE($E23,MAX(0,ROUNDUP(((YEAR(N$3)-YEAR($E23))*12+MONTH(N$3)-MONTH($E23))/$G23,0)*$G23))&lt;N$3,EDATE($E23,MAX(0,ROUNDUP(((YEAR(N$3)-YEAR($E23))*12+MONTH(N$3)-MONTH($E23))/$G23,0)*$G23)+$G23),EDATE($E23,MAX(0,ROUNDUP(((YEAR(N$3)-YEAR($E23))*12+MONTH(N$3)-MONTH($E23))/$G23,0)*$G23)))&gt;=N$3,IF(EDATE($E23,MAX(0,ROUNDUP(((YEAR(N$3)-YEAR($E23))*12+MONTH(N$3)-MONTH($E23))/$G23,0)*$G23))&lt;N$3,EDATE($E23,MAX(0,ROUNDUP(((YEAR(N$3)-YEAR($E23))*12+MONTH(N$3)-MONTH($E23))/$G23,0)*$G23)+$G23),EDATE($E23,MAX(0,ROUNDUP(((YEAR(N$3)-YEAR($E23))*12+MONTH(N$3)-MONTH($E23))/$G23,0)*$G23)))&lt;=IF($F23="",N$4,MIN(N$4,$F23))),1,0)))))</f>
        <v>0</v>
      </c>
      <c r="O23" s="25" t="n">
        <f aca="false">IF(OR($C23="",$C23=0,$E23="",$B23="",$G23=-2),0,$C23*IF($G23=0,IF(IF($F23="",O$4,MIN(O$4,$F23))&lt;$E23,0,MAX(0,INT((IF($F23="",O$4,MIN(O$4,$F23))-$E23)/7)+1-MAX(0,ROUNDUP((O$3-$E23)/7,0)))),IF($G23=101,(AND(EOMONTH(O$3,0)&gt;=MAX(O$3,$E23),EOMONTH(O$3,0)&lt;=IF($F23="",O$4,MIN(O$4,$F23)))*1+AND(EOMONTH(O$4,0)&lt;&gt;EOMONTH(O$3,0),EOMONTH(O$4,0)&gt;=MAX(O$3,$E23),EOMONTH(O$4,0)&lt;=IF($F23="",O$4,MIN(O$4,$F23)))*1),IF($G23=102,(AND(WORKDAY(EOMONTH(O$3,0)+1,-3)&gt;=MAX(O$3,$E23),WORKDAY(EOMONTH(O$3,0)+1,-3)&lt;=IF($F23="",O$4,MIN(O$4,$F23)))*1+AND(WORKDAY(EOMONTH(O$4,0)+1,-3)&lt;&gt;WORKDAY(EOMONTH(O$3,0)+1,-3),WORKDAY(EOMONTH(O$4,0)+1,-3)&gt;=MAX(O$3,$E23),WORKDAY(EOMONTH(O$4,0)+1,-3)&lt;=IF($F23="",O$4,MIN(O$4,$F23)))*1),IF(AND(IF(EDATE($E23,MAX(0,ROUNDUP(((YEAR(O$3)-YEAR($E23))*12+MONTH(O$3)-MONTH($E23))/$G23,0)*$G23))&lt;O$3,EDATE($E23,MAX(0,ROUNDUP(((YEAR(O$3)-YEAR($E23))*12+MONTH(O$3)-MONTH($E23))/$G23,0)*$G23)+$G23),EDATE($E23,MAX(0,ROUNDUP(((YEAR(O$3)-YEAR($E23))*12+MONTH(O$3)-MONTH($E23))/$G23,0)*$G23)))&gt;=O$3,IF(EDATE($E23,MAX(0,ROUNDUP(((YEAR(O$3)-YEAR($E23))*12+MONTH(O$3)-MONTH($E23))/$G23,0)*$G23))&lt;O$3,EDATE($E23,MAX(0,ROUNDUP(((YEAR(O$3)-YEAR($E23))*12+MONTH(O$3)-MONTH($E23))/$G23,0)*$G23)+$G23),EDATE($E23,MAX(0,ROUNDUP(((YEAR(O$3)-YEAR($E23))*12+MONTH(O$3)-MONTH($E23))/$G23,0)*$G23)))&lt;=IF($F23="",O$4,MIN(O$4,$F23))),1,0)))))</f>
        <v>0</v>
      </c>
      <c r="P23" s="25" t="n">
        <f aca="false">IF(OR($C23="",$C23=0,$E23="",$B23="",$G23=-2),0,$C23*IF($G23=0,IF(IF($F23="",P$4,MIN(P$4,$F23))&lt;$E23,0,MAX(0,INT((IF($F23="",P$4,MIN(P$4,$F23))-$E23)/7)+1-MAX(0,ROUNDUP((P$3-$E23)/7,0)))),IF($G23=101,(AND(EOMONTH(P$3,0)&gt;=MAX(P$3,$E23),EOMONTH(P$3,0)&lt;=IF($F23="",P$4,MIN(P$4,$F23)))*1+AND(EOMONTH(P$4,0)&lt;&gt;EOMONTH(P$3,0),EOMONTH(P$4,0)&gt;=MAX(P$3,$E23),EOMONTH(P$4,0)&lt;=IF($F23="",P$4,MIN(P$4,$F23)))*1),IF($G23=102,(AND(WORKDAY(EOMONTH(P$3,0)+1,-3)&gt;=MAX(P$3,$E23),WORKDAY(EOMONTH(P$3,0)+1,-3)&lt;=IF($F23="",P$4,MIN(P$4,$F23)))*1+AND(WORKDAY(EOMONTH(P$4,0)+1,-3)&lt;&gt;WORKDAY(EOMONTH(P$3,0)+1,-3),WORKDAY(EOMONTH(P$4,0)+1,-3)&gt;=MAX(P$3,$E23),WORKDAY(EOMONTH(P$4,0)+1,-3)&lt;=IF($F23="",P$4,MIN(P$4,$F23)))*1),IF(AND(IF(EDATE($E23,MAX(0,ROUNDUP(((YEAR(P$3)-YEAR($E23))*12+MONTH(P$3)-MONTH($E23))/$G23,0)*$G23))&lt;P$3,EDATE($E23,MAX(0,ROUNDUP(((YEAR(P$3)-YEAR($E23))*12+MONTH(P$3)-MONTH($E23))/$G23,0)*$G23)+$G23),EDATE($E23,MAX(0,ROUNDUP(((YEAR(P$3)-YEAR($E23))*12+MONTH(P$3)-MONTH($E23))/$G23,0)*$G23)))&gt;=P$3,IF(EDATE($E23,MAX(0,ROUNDUP(((YEAR(P$3)-YEAR($E23))*12+MONTH(P$3)-MONTH($E23))/$G23,0)*$G23))&lt;P$3,EDATE($E23,MAX(0,ROUNDUP(((YEAR(P$3)-YEAR($E23))*12+MONTH(P$3)-MONTH($E23))/$G23,0)*$G23)+$G23),EDATE($E23,MAX(0,ROUNDUP(((YEAR(P$3)-YEAR($E23))*12+MONTH(P$3)-MONTH($E23))/$G23,0)*$G23)))&lt;=IF($F23="",P$4,MIN(P$4,$F23))),1,0)))))</f>
        <v>0</v>
      </c>
      <c r="Q23" s="25" t="n">
        <f aca="false">IF(OR($C23="",$C23=0,$E23="",$B23="",$G23=-2),0,$C23*IF($G23=0,IF(IF($F23="",Q$4,MIN(Q$4,$F23))&lt;$E23,0,MAX(0,INT((IF($F23="",Q$4,MIN(Q$4,$F23))-$E23)/7)+1-MAX(0,ROUNDUP((Q$3-$E23)/7,0)))),IF($G23=101,(AND(EOMONTH(Q$3,0)&gt;=MAX(Q$3,$E23),EOMONTH(Q$3,0)&lt;=IF($F23="",Q$4,MIN(Q$4,$F23)))*1+AND(EOMONTH(Q$4,0)&lt;&gt;EOMONTH(Q$3,0),EOMONTH(Q$4,0)&gt;=MAX(Q$3,$E23),EOMONTH(Q$4,0)&lt;=IF($F23="",Q$4,MIN(Q$4,$F23)))*1),IF($G23=102,(AND(WORKDAY(EOMONTH(Q$3,0)+1,-3)&gt;=MAX(Q$3,$E23),WORKDAY(EOMONTH(Q$3,0)+1,-3)&lt;=IF($F23="",Q$4,MIN(Q$4,$F23)))*1+AND(WORKDAY(EOMONTH(Q$4,0)+1,-3)&lt;&gt;WORKDAY(EOMONTH(Q$3,0)+1,-3),WORKDAY(EOMONTH(Q$4,0)+1,-3)&gt;=MAX(Q$3,$E23),WORKDAY(EOMONTH(Q$4,0)+1,-3)&lt;=IF($F23="",Q$4,MIN(Q$4,$F23)))*1),IF(AND(IF(EDATE($E23,MAX(0,ROUNDUP(((YEAR(Q$3)-YEAR($E23))*12+MONTH(Q$3)-MONTH($E23))/$G23,0)*$G23))&lt;Q$3,EDATE($E23,MAX(0,ROUNDUP(((YEAR(Q$3)-YEAR($E23))*12+MONTH(Q$3)-MONTH($E23))/$G23,0)*$G23)+$G23),EDATE($E23,MAX(0,ROUNDUP(((YEAR(Q$3)-YEAR($E23))*12+MONTH(Q$3)-MONTH($E23))/$G23,0)*$G23)))&gt;=Q$3,IF(EDATE($E23,MAX(0,ROUNDUP(((YEAR(Q$3)-YEAR($E23))*12+MONTH(Q$3)-MONTH($E23))/$G23,0)*$G23))&lt;Q$3,EDATE($E23,MAX(0,ROUNDUP(((YEAR(Q$3)-YEAR($E23))*12+MONTH(Q$3)-MONTH($E23))/$G23,0)*$G23)+$G23),EDATE($E23,MAX(0,ROUNDUP(((YEAR(Q$3)-YEAR($E23))*12+MONTH(Q$3)-MONTH($E23))/$G23,0)*$G23)))&lt;=IF($F23="",Q$4,MIN(Q$4,$F23))),1,0)))))</f>
        <v>0</v>
      </c>
      <c r="R23" s="25" t="n">
        <f aca="false">IF(OR($C23="",$C23=0,$E23="",$B23="",$G23=-2),0,$C23*IF($G23=0,IF(IF($F23="",R$4,MIN(R$4,$F23))&lt;$E23,0,MAX(0,INT((IF($F23="",R$4,MIN(R$4,$F23))-$E23)/7)+1-MAX(0,ROUNDUP((R$3-$E23)/7,0)))),IF($G23=101,(AND(EOMONTH(R$3,0)&gt;=MAX(R$3,$E23),EOMONTH(R$3,0)&lt;=IF($F23="",R$4,MIN(R$4,$F23)))*1+AND(EOMONTH(R$4,0)&lt;&gt;EOMONTH(R$3,0),EOMONTH(R$4,0)&gt;=MAX(R$3,$E23),EOMONTH(R$4,0)&lt;=IF($F23="",R$4,MIN(R$4,$F23)))*1),IF($G23=102,(AND(WORKDAY(EOMONTH(R$3,0)+1,-3)&gt;=MAX(R$3,$E23),WORKDAY(EOMONTH(R$3,0)+1,-3)&lt;=IF($F23="",R$4,MIN(R$4,$F23)))*1+AND(WORKDAY(EOMONTH(R$4,0)+1,-3)&lt;&gt;WORKDAY(EOMONTH(R$3,0)+1,-3),WORKDAY(EOMONTH(R$4,0)+1,-3)&gt;=MAX(R$3,$E23),WORKDAY(EOMONTH(R$4,0)+1,-3)&lt;=IF($F23="",R$4,MIN(R$4,$F23)))*1),IF(AND(IF(EDATE($E23,MAX(0,ROUNDUP(((YEAR(R$3)-YEAR($E23))*12+MONTH(R$3)-MONTH($E23))/$G23,0)*$G23))&lt;R$3,EDATE($E23,MAX(0,ROUNDUP(((YEAR(R$3)-YEAR($E23))*12+MONTH(R$3)-MONTH($E23))/$G23,0)*$G23)+$G23),EDATE($E23,MAX(0,ROUNDUP(((YEAR(R$3)-YEAR($E23))*12+MONTH(R$3)-MONTH($E23))/$G23,0)*$G23)))&gt;=R$3,IF(EDATE($E23,MAX(0,ROUNDUP(((YEAR(R$3)-YEAR($E23))*12+MONTH(R$3)-MONTH($E23))/$G23,0)*$G23))&lt;R$3,EDATE($E23,MAX(0,ROUNDUP(((YEAR(R$3)-YEAR($E23))*12+MONTH(R$3)-MONTH($E23))/$G23,0)*$G23)+$G23),EDATE($E23,MAX(0,ROUNDUP(((YEAR(R$3)-YEAR($E23))*12+MONTH(R$3)-MONTH($E23))/$G23,0)*$G23)))&lt;=IF($F23="",R$4,MIN(R$4,$F23))),1,0)))))</f>
        <v>0</v>
      </c>
      <c r="S23" s="25" t="n">
        <f aca="false">IF(OR($C23="",$C23=0,$E23="",$B23="",$G23=-2),0,$C23*IF($G23=0,IF(IF($F23="",S$4,MIN(S$4,$F23))&lt;$E23,0,MAX(0,INT((IF($F23="",S$4,MIN(S$4,$F23))-$E23)/7)+1-MAX(0,ROUNDUP((S$3-$E23)/7,0)))),IF($G23=101,(AND(EOMONTH(S$3,0)&gt;=MAX(S$3,$E23),EOMONTH(S$3,0)&lt;=IF($F23="",S$4,MIN(S$4,$F23)))*1+AND(EOMONTH(S$4,0)&lt;&gt;EOMONTH(S$3,0),EOMONTH(S$4,0)&gt;=MAX(S$3,$E23),EOMONTH(S$4,0)&lt;=IF($F23="",S$4,MIN(S$4,$F23)))*1),IF($G23=102,(AND(WORKDAY(EOMONTH(S$3,0)+1,-3)&gt;=MAX(S$3,$E23),WORKDAY(EOMONTH(S$3,0)+1,-3)&lt;=IF($F23="",S$4,MIN(S$4,$F23)))*1+AND(WORKDAY(EOMONTH(S$4,0)+1,-3)&lt;&gt;WORKDAY(EOMONTH(S$3,0)+1,-3),WORKDAY(EOMONTH(S$4,0)+1,-3)&gt;=MAX(S$3,$E23),WORKDAY(EOMONTH(S$4,0)+1,-3)&lt;=IF($F23="",S$4,MIN(S$4,$F23)))*1),IF(AND(IF(EDATE($E23,MAX(0,ROUNDUP(((YEAR(S$3)-YEAR($E23))*12+MONTH(S$3)-MONTH($E23))/$G23,0)*$G23))&lt;S$3,EDATE($E23,MAX(0,ROUNDUP(((YEAR(S$3)-YEAR($E23))*12+MONTH(S$3)-MONTH($E23))/$G23,0)*$G23)+$G23),EDATE($E23,MAX(0,ROUNDUP(((YEAR(S$3)-YEAR($E23))*12+MONTH(S$3)-MONTH($E23))/$G23,0)*$G23)))&gt;=S$3,IF(EDATE($E23,MAX(0,ROUNDUP(((YEAR(S$3)-YEAR($E23))*12+MONTH(S$3)-MONTH($E23))/$G23,0)*$G23))&lt;S$3,EDATE($E23,MAX(0,ROUNDUP(((YEAR(S$3)-YEAR($E23))*12+MONTH(S$3)-MONTH($E23))/$G23,0)*$G23)+$G23),EDATE($E23,MAX(0,ROUNDUP(((YEAR(S$3)-YEAR($E23))*12+MONTH(S$3)-MONTH($E23))/$G23,0)*$G23)))&lt;=IF($F23="",S$4,MIN(S$4,$F23))),1,0)))))</f>
        <v>0</v>
      </c>
      <c r="T23" s="25" t="n">
        <f aca="false">IF(OR($C23="",$C23=0,$E23="",$B23="",$G23=-2),0,$C23*IF($G23=0,IF(IF($F23="",T$4,MIN(T$4,$F23))&lt;$E23,0,MAX(0,INT((IF($F23="",T$4,MIN(T$4,$F23))-$E23)/7)+1-MAX(0,ROUNDUP((T$3-$E23)/7,0)))),IF($G23=101,(AND(EOMONTH(T$3,0)&gt;=MAX(T$3,$E23),EOMONTH(T$3,0)&lt;=IF($F23="",T$4,MIN(T$4,$F23)))*1+AND(EOMONTH(T$4,0)&lt;&gt;EOMONTH(T$3,0),EOMONTH(T$4,0)&gt;=MAX(T$3,$E23),EOMONTH(T$4,0)&lt;=IF($F23="",T$4,MIN(T$4,$F23)))*1),IF($G23=102,(AND(WORKDAY(EOMONTH(T$3,0)+1,-3)&gt;=MAX(T$3,$E23),WORKDAY(EOMONTH(T$3,0)+1,-3)&lt;=IF($F23="",T$4,MIN(T$4,$F23)))*1+AND(WORKDAY(EOMONTH(T$4,0)+1,-3)&lt;&gt;WORKDAY(EOMONTH(T$3,0)+1,-3),WORKDAY(EOMONTH(T$4,0)+1,-3)&gt;=MAX(T$3,$E23),WORKDAY(EOMONTH(T$4,0)+1,-3)&lt;=IF($F23="",T$4,MIN(T$4,$F23)))*1),IF(AND(IF(EDATE($E23,MAX(0,ROUNDUP(((YEAR(T$3)-YEAR($E23))*12+MONTH(T$3)-MONTH($E23))/$G23,0)*$G23))&lt;T$3,EDATE($E23,MAX(0,ROUNDUP(((YEAR(T$3)-YEAR($E23))*12+MONTH(T$3)-MONTH($E23))/$G23,0)*$G23)+$G23),EDATE($E23,MAX(0,ROUNDUP(((YEAR(T$3)-YEAR($E23))*12+MONTH(T$3)-MONTH($E23))/$G23,0)*$G23)))&gt;=T$3,IF(EDATE($E23,MAX(0,ROUNDUP(((YEAR(T$3)-YEAR($E23))*12+MONTH(T$3)-MONTH($E23))/$G23,0)*$G23))&lt;T$3,EDATE($E23,MAX(0,ROUNDUP(((YEAR(T$3)-YEAR($E23))*12+MONTH(T$3)-MONTH($E23))/$G23,0)*$G23)+$G23),EDATE($E23,MAX(0,ROUNDUP(((YEAR(T$3)-YEAR($E23))*12+MONTH(T$3)-MONTH($E23))/$G23,0)*$G23)))&lt;=IF($F23="",T$4,MIN(T$4,$F23))),1,0)))))</f>
        <v>0</v>
      </c>
      <c r="U23" s="25" t="n">
        <f aca="false">IF(OR($C23="",$C23=0,$E23="",$B23="",$G23=-2),0,$C23*IF($G23=0,IF(IF($F23="",U$4,MIN(U$4,$F23))&lt;$E23,0,MAX(0,INT((IF($F23="",U$4,MIN(U$4,$F23))-$E23)/7)+1-MAX(0,ROUNDUP((U$3-$E23)/7,0)))),IF($G23=101,(AND(EOMONTH(U$3,0)&gt;=MAX(U$3,$E23),EOMONTH(U$3,0)&lt;=IF($F23="",U$4,MIN(U$4,$F23)))*1+AND(EOMONTH(U$4,0)&lt;&gt;EOMONTH(U$3,0),EOMONTH(U$4,0)&gt;=MAX(U$3,$E23),EOMONTH(U$4,0)&lt;=IF($F23="",U$4,MIN(U$4,$F23)))*1),IF($G23=102,(AND(WORKDAY(EOMONTH(U$3,0)+1,-3)&gt;=MAX(U$3,$E23),WORKDAY(EOMONTH(U$3,0)+1,-3)&lt;=IF($F23="",U$4,MIN(U$4,$F23)))*1+AND(WORKDAY(EOMONTH(U$4,0)+1,-3)&lt;&gt;WORKDAY(EOMONTH(U$3,0)+1,-3),WORKDAY(EOMONTH(U$4,0)+1,-3)&gt;=MAX(U$3,$E23),WORKDAY(EOMONTH(U$4,0)+1,-3)&lt;=IF($F23="",U$4,MIN(U$4,$F23)))*1),IF(AND(IF(EDATE($E23,MAX(0,ROUNDUP(((YEAR(U$3)-YEAR($E23))*12+MONTH(U$3)-MONTH($E23))/$G23,0)*$G23))&lt;U$3,EDATE($E23,MAX(0,ROUNDUP(((YEAR(U$3)-YEAR($E23))*12+MONTH(U$3)-MONTH($E23))/$G23,0)*$G23)+$G23),EDATE($E23,MAX(0,ROUNDUP(((YEAR(U$3)-YEAR($E23))*12+MONTH(U$3)-MONTH($E23))/$G23,0)*$G23)))&gt;=U$3,IF(EDATE($E23,MAX(0,ROUNDUP(((YEAR(U$3)-YEAR($E23))*12+MONTH(U$3)-MONTH($E23))/$G23,0)*$G23))&lt;U$3,EDATE($E23,MAX(0,ROUNDUP(((YEAR(U$3)-YEAR($E23))*12+MONTH(U$3)-MONTH($E23))/$G23,0)*$G23)+$G23),EDATE($E23,MAX(0,ROUNDUP(((YEAR(U$3)-YEAR($E23))*12+MONTH(U$3)-MONTH($E23))/$G23,0)*$G23)))&lt;=IF($F23="",U$4,MIN(U$4,$F23))),1,0)))))</f>
        <v>0</v>
      </c>
      <c r="V23" s="25" t="n">
        <f aca="false">IF(OR($C23="",$C23=0,$E23="",$B23="",$G23=-2),0,$C23*IF($G23=0,IF(IF($F23="",V$4,MIN(V$4,$F23))&lt;$E23,0,MAX(0,INT((IF($F23="",V$4,MIN(V$4,$F23))-$E23)/7)+1-MAX(0,ROUNDUP((V$3-$E23)/7,0)))),IF($G23=101,(AND(EOMONTH(V$3,0)&gt;=MAX(V$3,$E23),EOMONTH(V$3,0)&lt;=IF($F23="",V$4,MIN(V$4,$F23)))*1+AND(EOMONTH(V$4,0)&lt;&gt;EOMONTH(V$3,0),EOMONTH(V$4,0)&gt;=MAX(V$3,$E23),EOMONTH(V$4,0)&lt;=IF($F23="",V$4,MIN(V$4,$F23)))*1),IF($G23=102,(AND(WORKDAY(EOMONTH(V$3,0)+1,-3)&gt;=MAX(V$3,$E23),WORKDAY(EOMONTH(V$3,0)+1,-3)&lt;=IF($F23="",V$4,MIN(V$4,$F23)))*1+AND(WORKDAY(EOMONTH(V$4,0)+1,-3)&lt;&gt;WORKDAY(EOMONTH(V$3,0)+1,-3),WORKDAY(EOMONTH(V$4,0)+1,-3)&gt;=MAX(V$3,$E23),WORKDAY(EOMONTH(V$4,0)+1,-3)&lt;=IF($F23="",V$4,MIN(V$4,$F23)))*1),IF(AND(IF(EDATE($E23,MAX(0,ROUNDUP(((YEAR(V$3)-YEAR($E23))*12+MONTH(V$3)-MONTH($E23))/$G23,0)*$G23))&lt;V$3,EDATE($E23,MAX(0,ROUNDUP(((YEAR(V$3)-YEAR($E23))*12+MONTH(V$3)-MONTH($E23))/$G23,0)*$G23)+$G23),EDATE($E23,MAX(0,ROUNDUP(((YEAR(V$3)-YEAR($E23))*12+MONTH(V$3)-MONTH($E23))/$G23,0)*$G23)))&gt;=V$3,IF(EDATE($E23,MAX(0,ROUNDUP(((YEAR(V$3)-YEAR($E23))*12+MONTH(V$3)-MONTH($E23))/$G23,0)*$G23))&lt;V$3,EDATE($E23,MAX(0,ROUNDUP(((YEAR(V$3)-YEAR($E23))*12+MONTH(V$3)-MONTH($E23))/$G23,0)*$G23)+$G23),EDATE($E23,MAX(0,ROUNDUP(((YEAR(V$3)-YEAR($E23))*12+MONTH(V$3)-MONTH($E23))/$G23,0)*$G23)))&lt;=IF($F23="",V$4,MIN(V$4,$F23))),1,0)))))</f>
        <v>0</v>
      </c>
      <c r="W23" s="25" t="n">
        <f aca="false">IF(OR($C23="",$C23=0,$E23="",$B23="",$G23=-2),0,$C23*IF($G23=0,IF(IF($F23="",W$4,MIN(W$4,$F23))&lt;$E23,0,MAX(0,INT((IF($F23="",W$4,MIN(W$4,$F23))-$E23)/7)+1-MAX(0,ROUNDUP((W$3-$E23)/7,0)))),IF($G23=101,(AND(EOMONTH(W$3,0)&gt;=MAX(W$3,$E23),EOMONTH(W$3,0)&lt;=IF($F23="",W$4,MIN(W$4,$F23)))*1+AND(EOMONTH(W$4,0)&lt;&gt;EOMONTH(W$3,0),EOMONTH(W$4,0)&gt;=MAX(W$3,$E23),EOMONTH(W$4,0)&lt;=IF($F23="",W$4,MIN(W$4,$F23)))*1),IF($G23=102,(AND(WORKDAY(EOMONTH(W$3,0)+1,-3)&gt;=MAX(W$3,$E23),WORKDAY(EOMONTH(W$3,0)+1,-3)&lt;=IF($F23="",W$4,MIN(W$4,$F23)))*1+AND(WORKDAY(EOMONTH(W$4,0)+1,-3)&lt;&gt;WORKDAY(EOMONTH(W$3,0)+1,-3),WORKDAY(EOMONTH(W$4,0)+1,-3)&gt;=MAX(W$3,$E23),WORKDAY(EOMONTH(W$4,0)+1,-3)&lt;=IF($F23="",W$4,MIN(W$4,$F23)))*1),IF(AND(IF(EDATE($E23,MAX(0,ROUNDUP(((YEAR(W$3)-YEAR($E23))*12+MONTH(W$3)-MONTH($E23))/$G23,0)*$G23))&lt;W$3,EDATE($E23,MAX(0,ROUNDUP(((YEAR(W$3)-YEAR($E23))*12+MONTH(W$3)-MONTH($E23))/$G23,0)*$G23)+$G23),EDATE($E23,MAX(0,ROUNDUP(((YEAR(W$3)-YEAR($E23))*12+MONTH(W$3)-MONTH($E23))/$G23,0)*$G23)))&gt;=W$3,IF(EDATE($E23,MAX(0,ROUNDUP(((YEAR(W$3)-YEAR($E23))*12+MONTH(W$3)-MONTH($E23))/$G23,0)*$G23))&lt;W$3,EDATE($E23,MAX(0,ROUNDUP(((YEAR(W$3)-YEAR($E23))*12+MONTH(W$3)-MONTH($E23))/$G23,0)*$G23)+$G23),EDATE($E23,MAX(0,ROUNDUP(((YEAR(W$3)-YEAR($E23))*12+MONTH(W$3)-MONTH($E23))/$G23,0)*$G23)))&lt;=IF($F23="",W$4,MIN(W$4,$F23))),1,0)))))</f>
        <v>0</v>
      </c>
      <c r="X23" s="25" t="n">
        <f aca="false">IF(OR($C23="",$C23=0,$E23="",$B23="",$G23=-2),0,$C23*IF($G23=0,IF(IF($F23="",X$4,MIN(X$4,$F23))&lt;$E23,0,MAX(0,INT((IF($F23="",X$4,MIN(X$4,$F23))-$E23)/7)+1-MAX(0,ROUNDUP((X$3-$E23)/7,0)))),IF($G23=101,(AND(EOMONTH(X$3,0)&gt;=MAX(X$3,$E23),EOMONTH(X$3,0)&lt;=IF($F23="",X$4,MIN(X$4,$F23)))*1+AND(EOMONTH(X$4,0)&lt;&gt;EOMONTH(X$3,0),EOMONTH(X$4,0)&gt;=MAX(X$3,$E23),EOMONTH(X$4,0)&lt;=IF($F23="",X$4,MIN(X$4,$F23)))*1),IF($G23=102,(AND(WORKDAY(EOMONTH(X$3,0)+1,-3)&gt;=MAX(X$3,$E23),WORKDAY(EOMONTH(X$3,0)+1,-3)&lt;=IF($F23="",X$4,MIN(X$4,$F23)))*1+AND(WORKDAY(EOMONTH(X$4,0)+1,-3)&lt;&gt;WORKDAY(EOMONTH(X$3,0)+1,-3),WORKDAY(EOMONTH(X$4,0)+1,-3)&gt;=MAX(X$3,$E23),WORKDAY(EOMONTH(X$4,0)+1,-3)&lt;=IF($F23="",X$4,MIN(X$4,$F23)))*1),IF(AND(IF(EDATE($E23,MAX(0,ROUNDUP(((YEAR(X$3)-YEAR($E23))*12+MONTH(X$3)-MONTH($E23))/$G23,0)*$G23))&lt;X$3,EDATE($E23,MAX(0,ROUNDUP(((YEAR(X$3)-YEAR($E23))*12+MONTH(X$3)-MONTH($E23))/$G23,0)*$G23)+$G23),EDATE($E23,MAX(0,ROUNDUP(((YEAR(X$3)-YEAR($E23))*12+MONTH(X$3)-MONTH($E23))/$G23,0)*$G23)))&gt;=X$3,IF(EDATE($E23,MAX(0,ROUNDUP(((YEAR(X$3)-YEAR($E23))*12+MONTH(X$3)-MONTH($E23))/$G23,0)*$G23))&lt;X$3,EDATE($E23,MAX(0,ROUNDUP(((YEAR(X$3)-YEAR($E23))*12+MONTH(X$3)-MONTH($E23))/$G23,0)*$G23)+$G23),EDATE($E23,MAX(0,ROUNDUP(((YEAR(X$3)-YEAR($E23))*12+MONTH(X$3)-MONTH($E23))/$G23,0)*$G23)))&lt;=IF($F23="",X$4,MIN(X$4,$F23))),1,0)))))</f>
        <v>0</v>
      </c>
      <c r="Y23" s="25" t="n">
        <f aca="false">IF(OR($C23="",$C23=0,$E23="",$B23="",$G23=-2),0,$C23*IF($G23=0,IF(IF($F23="",Y$4,MIN(Y$4,$F23))&lt;$E23,0,MAX(0,INT((IF($F23="",Y$4,MIN(Y$4,$F23))-$E23)/7)+1-MAX(0,ROUNDUP((Y$3-$E23)/7,0)))),IF($G23=101,(AND(EOMONTH(Y$3,0)&gt;=MAX(Y$3,$E23),EOMONTH(Y$3,0)&lt;=IF($F23="",Y$4,MIN(Y$4,$F23)))*1+AND(EOMONTH(Y$4,0)&lt;&gt;EOMONTH(Y$3,0),EOMONTH(Y$4,0)&gt;=MAX(Y$3,$E23),EOMONTH(Y$4,0)&lt;=IF($F23="",Y$4,MIN(Y$4,$F23)))*1),IF($G23=102,(AND(WORKDAY(EOMONTH(Y$3,0)+1,-3)&gt;=MAX(Y$3,$E23),WORKDAY(EOMONTH(Y$3,0)+1,-3)&lt;=IF($F23="",Y$4,MIN(Y$4,$F23)))*1+AND(WORKDAY(EOMONTH(Y$4,0)+1,-3)&lt;&gt;WORKDAY(EOMONTH(Y$3,0)+1,-3),WORKDAY(EOMONTH(Y$4,0)+1,-3)&gt;=MAX(Y$3,$E23),WORKDAY(EOMONTH(Y$4,0)+1,-3)&lt;=IF($F23="",Y$4,MIN(Y$4,$F23)))*1),IF(AND(IF(EDATE($E23,MAX(0,ROUNDUP(((YEAR(Y$3)-YEAR($E23))*12+MONTH(Y$3)-MONTH($E23))/$G23,0)*$G23))&lt;Y$3,EDATE($E23,MAX(0,ROUNDUP(((YEAR(Y$3)-YEAR($E23))*12+MONTH(Y$3)-MONTH($E23))/$G23,0)*$G23)+$G23),EDATE($E23,MAX(0,ROUNDUP(((YEAR(Y$3)-YEAR($E23))*12+MONTH(Y$3)-MONTH($E23))/$G23,0)*$G23)))&gt;=Y$3,IF(EDATE($E23,MAX(0,ROUNDUP(((YEAR(Y$3)-YEAR($E23))*12+MONTH(Y$3)-MONTH($E23))/$G23,0)*$G23))&lt;Y$3,EDATE($E23,MAX(0,ROUNDUP(((YEAR(Y$3)-YEAR($E23))*12+MONTH(Y$3)-MONTH($E23))/$G23,0)*$G23)+$G23),EDATE($E23,MAX(0,ROUNDUP(((YEAR(Y$3)-YEAR($E23))*12+MONTH(Y$3)-MONTH($E23))/$G23,0)*$G23)))&lt;=IF($F23="",Y$4,MIN(Y$4,$F23))),1,0)))))</f>
        <v>0</v>
      </c>
      <c r="Z23" s="25" t="n">
        <f aca="false">IF(OR($C23="",$C23=0,$E23="",$B23="",$G23=-2),0,$C23*IF($G23=0,IF(IF($F23="",Z$4,MIN(Z$4,$F23))&lt;$E23,0,MAX(0,INT((IF($F23="",Z$4,MIN(Z$4,$F23))-$E23)/7)+1-MAX(0,ROUNDUP((Z$3-$E23)/7,0)))),IF($G23=101,(AND(EOMONTH(Z$3,0)&gt;=MAX(Z$3,$E23),EOMONTH(Z$3,0)&lt;=IF($F23="",Z$4,MIN(Z$4,$F23)))*1+AND(EOMONTH(Z$4,0)&lt;&gt;EOMONTH(Z$3,0),EOMONTH(Z$4,0)&gt;=MAX(Z$3,$E23),EOMONTH(Z$4,0)&lt;=IF($F23="",Z$4,MIN(Z$4,$F23)))*1),IF($G23=102,(AND(WORKDAY(EOMONTH(Z$3,0)+1,-3)&gt;=MAX(Z$3,$E23),WORKDAY(EOMONTH(Z$3,0)+1,-3)&lt;=IF($F23="",Z$4,MIN(Z$4,$F23)))*1+AND(WORKDAY(EOMONTH(Z$4,0)+1,-3)&lt;&gt;WORKDAY(EOMONTH(Z$3,0)+1,-3),WORKDAY(EOMONTH(Z$4,0)+1,-3)&gt;=MAX(Z$3,$E23),WORKDAY(EOMONTH(Z$4,0)+1,-3)&lt;=IF($F23="",Z$4,MIN(Z$4,$F23)))*1),IF(AND(IF(EDATE($E23,MAX(0,ROUNDUP(((YEAR(Z$3)-YEAR($E23))*12+MONTH(Z$3)-MONTH($E23))/$G23,0)*$G23))&lt;Z$3,EDATE($E23,MAX(0,ROUNDUP(((YEAR(Z$3)-YEAR($E23))*12+MONTH(Z$3)-MONTH($E23))/$G23,0)*$G23)+$G23),EDATE($E23,MAX(0,ROUNDUP(((YEAR(Z$3)-YEAR($E23))*12+MONTH(Z$3)-MONTH($E23))/$G23,0)*$G23)))&gt;=Z$3,IF(EDATE($E23,MAX(0,ROUNDUP(((YEAR(Z$3)-YEAR($E23))*12+MONTH(Z$3)-MONTH($E23))/$G23,0)*$G23))&lt;Z$3,EDATE($E23,MAX(0,ROUNDUP(((YEAR(Z$3)-YEAR($E23))*12+MONTH(Z$3)-MONTH($E23))/$G23,0)*$G23)+$G23),EDATE($E23,MAX(0,ROUNDUP(((YEAR(Z$3)-YEAR($E23))*12+MONTH(Z$3)-MONTH($E23))/$G23,0)*$G23)))&lt;=IF($F23="",Z$4,MIN(Z$4,$F23))),1,0)))))</f>
        <v>0</v>
      </c>
      <c r="AA23" s="25" t="n">
        <f aca="false">IF(OR($C23="",$C23=0,$E23="",$B23="",$G23=-2),0,$C23*IF($G23=0,IF(IF($F23="",AA$4,MIN(AA$4,$F23))&lt;$E23,0,MAX(0,INT((IF($F23="",AA$4,MIN(AA$4,$F23))-$E23)/7)+1-MAX(0,ROUNDUP((AA$3-$E23)/7,0)))),IF($G23=101,(AND(EOMONTH(AA$3,0)&gt;=MAX(AA$3,$E23),EOMONTH(AA$3,0)&lt;=IF($F23="",AA$4,MIN(AA$4,$F23)))*1+AND(EOMONTH(AA$4,0)&lt;&gt;EOMONTH(AA$3,0),EOMONTH(AA$4,0)&gt;=MAX(AA$3,$E23),EOMONTH(AA$4,0)&lt;=IF($F23="",AA$4,MIN(AA$4,$F23)))*1),IF($G23=102,(AND(WORKDAY(EOMONTH(AA$3,0)+1,-3)&gt;=MAX(AA$3,$E23),WORKDAY(EOMONTH(AA$3,0)+1,-3)&lt;=IF($F23="",AA$4,MIN(AA$4,$F23)))*1+AND(WORKDAY(EOMONTH(AA$4,0)+1,-3)&lt;&gt;WORKDAY(EOMONTH(AA$3,0)+1,-3),WORKDAY(EOMONTH(AA$4,0)+1,-3)&gt;=MAX(AA$3,$E23),WORKDAY(EOMONTH(AA$4,0)+1,-3)&lt;=IF($F23="",AA$4,MIN(AA$4,$F23)))*1),IF(AND(IF(EDATE($E23,MAX(0,ROUNDUP(((YEAR(AA$3)-YEAR($E23))*12+MONTH(AA$3)-MONTH($E23))/$G23,0)*$G23))&lt;AA$3,EDATE($E23,MAX(0,ROUNDUP(((YEAR(AA$3)-YEAR($E23))*12+MONTH(AA$3)-MONTH($E23))/$G23,0)*$G23)+$G23),EDATE($E23,MAX(0,ROUNDUP(((YEAR(AA$3)-YEAR($E23))*12+MONTH(AA$3)-MONTH($E23))/$G23,0)*$G23)))&gt;=AA$3,IF(EDATE($E23,MAX(0,ROUNDUP(((YEAR(AA$3)-YEAR($E23))*12+MONTH(AA$3)-MONTH($E23))/$G23,0)*$G23))&lt;AA$3,EDATE($E23,MAX(0,ROUNDUP(((YEAR(AA$3)-YEAR($E23))*12+MONTH(AA$3)-MONTH($E23))/$G23,0)*$G23)+$G23),EDATE($E23,MAX(0,ROUNDUP(((YEAR(AA$3)-YEAR($E23))*12+MONTH(AA$3)-MONTH($E23))/$G23,0)*$G23)))&lt;=IF($F23="",AA$4,MIN(AA$4,$F23))),1,0)))))</f>
        <v>0</v>
      </c>
      <c r="AB23" s="25" t="n">
        <f aca="false">IF(OR($C23="",$C23=0,$E23="",$B23="",$G23=-2),0,$C23*IF($G23=0,IF(IF($F23="",AB$4,MIN(AB$4,$F23))&lt;$E23,0,MAX(0,INT((IF($F23="",AB$4,MIN(AB$4,$F23))-$E23)/7)+1-MAX(0,ROUNDUP((AB$3-$E23)/7,0)))),IF($G23=101,(AND(EOMONTH(AB$3,0)&gt;=MAX(AB$3,$E23),EOMONTH(AB$3,0)&lt;=IF($F23="",AB$4,MIN(AB$4,$F23)))*1+AND(EOMONTH(AB$4,0)&lt;&gt;EOMONTH(AB$3,0),EOMONTH(AB$4,0)&gt;=MAX(AB$3,$E23),EOMONTH(AB$4,0)&lt;=IF($F23="",AB$4,MIN(AB$4,$F23)))*1),IF($G23=102,(AND(WORKDAY(EOMONTH(AB$3,0)+1,-3)&gt;=MAX(AB$3,$E23),WORKDAY(EOMONTH(AB$3,0)+1,-3)&lt;=IF($F23="",AB$4,MIN(AB$4,$F23)))*1+AND(WORKDAY(EOMONTH(AB$4,0)+1,-3)&lt;&gt;WORKDAY(EOMONTH(AB$3,0)+1,-3),WORKDAY(EOMONTH(AB$4,0)+1,-3)&gt;=MAX(AB$3,$E23),WORKDAY(EOMONTH(AB$4,0)+1,-3)&lt;=IF($F23="",AB$4,MIN(AB$4,$F23)))*1),IF(AND(IF(EDATE($E23,MAX(0,ROUNDUP(((YEAR(AB$3)-YEAR($E23))*12+MONTH(AB$3)-MONTH($E23))/$G23,0)*$G23))&lt;AB$3,EDATE($E23,MAX(0,ROUNDUP(((YEAR(AB$3)-YEAR($E23))*12+MONTH(AB$3)-MONTH($E23))/$G23,0)*$G23)+$G23),EDATE($E23,MAX(0,ROUNDUP(((YEAR(AB$3)-YEAR($E23))*12+MONTH(AB$3)-MONTH($E23))/$G23,0)*$G23)))&gt;=AB$3,IF(EDATE($E23,MAX(0,ROUNDUP(((YEAR(AB$3)-YEAR($E23))*12+MONTH(AB$3)-MONTH($E23))/$G23,0)*$G23))&lt;AB$3,EDATE($E23,MAX(0,ROUNDUP(((YEAR(AB$3)-YEAR($E23))*12+MONTH(AB$3)-MONTH($E23))/$G23,0)*$G23)+$G23),EDATE($E23,MAX(0,ROUNDUP(((YEAR(AB$3)-YEAR($E23))*12+MONTH(AB$3)-MONTH($E23))/$G23,0)*$G23)))&lt;=IF($F23="",AB$4,MIN(AB$4,$F23))),1,0)))))</f>
        <v>0</v>
      </c>
      <c r="AC23" s="25" t="n">
        <f aca="false">IF(OR($C23="",$C23=0,$E23="",$B23="",$G23=-2),0,$C23*IF($G23=0,IF(IF($F23="",AC$4,MIN(AC$4,$F23))&lt;$E23,0,MAX(0,INT((IF($F23="",AC$4,MIN(AC$4,$F23))-$E23)/7)+1-MAX(0,ROUNDUP((AC$3-$E23)/7,0)))),IF($G23=101,(AND(EOMONTH(AC$3,0)&gt;=MAX(AC$3,$E23),EOMONTH(AC$3,0)&lt;=IF($F23="",AC$4,MIN(AC$4,$F23)))*1+AND(EOMONTH(AC$4,0)&lt;&gt;EOMONTH(AC$3,0),EOMONTH(AC$4,0)&gt;=MAX(AC$3,$E23),EOMONTH(AC$4,0)&lt;=IF($F23="",AC$4,MIN(AC$4,$F23)))*1),IF($G23=102,(AND(WORKDAY(EOMONTH(AC$3,0)+1,-3)&gt;=MAX(AC$3,$E23),WORKDAY(EOMONTH(AC$3,0)+1,-3)&lt;=IF($F23="",AC$4,MIN(AC$4,$F23)))*1+AND(WORKDAY(EOMONTH(AC$4,0)+1,-3)&lt;&gt;WORKDAY(EOMONTH(AC$3,0)+1,-3),WORKDAY(EOMONTH(AC$4,0)+1,-3)&gt;=MAX(AC$3,$E23),WORKDAY(EOMONTH(AC$4,0)+1,-3)&lt;=IF($F23="",AC$4,MIN(AC$4,$F23)))*1),IF(AND(IF(EDATE($E23,MAX(0,ROUNDUP(((YEAR(AC$3)-YEAR($E23))*12+MONTH(AC$3)-MONTH($E23))/$G23,0)*$G23))&lt;AC$3,EDATE($E23,MAX(0,ROUNDUP(((YEAR(AC$3)-YEAR($E23))*12+MONTH(AC$3)-MONTH($E23))/$G23,0)*$G23)+$G23),EDATE($E23,MAX(0,ROUNDUP(((YEAR(AC$3)-YEAR($E23))*12+MONTH(AC$3)-MONTH($E23))/$G23,0)*$G23)))&gt;=AC$3,IF(EDATE($E23,MAX(0,ROUNDUP(((YEAR(AC$3)-YEAR($E23))*12+MONTH(AC$3)-MONTH($E23))/$G23,0)*$G23))&lt;AC$3,EDATE($E23,MAX(0,ROUNDUP(((YEAR(AC$3)-YEAR($E23))*12+MONTH(AC$3)-MONTH($E23))/$G23,0)*$G23)+$G23),EDATE($E23,MAX(0,ROUNDUP(((YEAR(AC$3)-YEAR($E23))*12+MONTH(AC$3)-MONTH($E23))/$G23,0)*$G23)))&lt;=IF($F23="",AC$4,MIN(AC$4,$F23))),1,0)))))</f>
        <v>0</v>
      </c>
      <c r="AD23" s="25" t="n">
        <f aca="false">IF(OR($C23="",$C23=0,$E23="",$B23="",$G23=-2),0,$C23*IF($G23=0,IF(IF($F23="",AD$4,MIN(AD$4,$F23))&lt;$E23,0,MAX(0,INT((IF($F23="",AD$4,MIN(AD$4,$F23))-$E23)/7)+1-MAX(0,ROUNDUP((AD$3-$E23)/7,0)))),IF($G23=101,(AND(EOMONTH(AD$3,0)&gt;=MAX(AD$3,$E23),EOMONTH(AD$3,0)&lt;=IF($F23="",AD$4,MIN(AD$4,$F23)))*1+AND(EOMONTH(AD$4,0)&lt;&gt;EOMONTH(AD$3,0),EOMONTH(AD$4,0)&gt;=MAX(AD$3,$E23),EOMONTH(AD$4,0)&lt;=IF($F23="",AD$4,MIN(AD$4,$F23)))*1),IF($G23=102,(AND(WORKDAY(EOMONTH(AD$3,0)+1,-3)&gt;=MAX(AD$3,$E23),WORKDAY(EOMONTH(AD$3,0)+1,-3)&lt;=IF($F23="",AD$4,MIN(AD$4,$F23)))*1+AND(WORKDAY(EOMONTH(AD$4,0)+1,-3)&lt;&gt;WORKDAY(EOMONTH(AD$3,0)+1,-3),WORKDAY(EOMONTH(AD$4,0)+1,-3)&gt;=MAX(AD$3,$E23),WORKDAY(EOMONTH(AD$4,0)+1,-3)&lt;=IF($F23="",AD$4,MIN(AD$4,$F23)))*1),IF(AND(IF(EDATE($E23,MAX(0,ROUNDUP(((YEAR(AD$3)-YEAR($E23))*12+MONTH(AD$3)-MONTH($E23))/$G23,0)*$G23))&lt;AD$3,EDATE($E23,MAX(0,ROUNDUP(((YEAR(AD$3)-YEAR($E23))*12+MONTH(AD$3)-MONTH($E23))/$G23,0)*$G23)+$G23),EDATE($E23,MAX(0,ROUNDUP(((YEAR(AD$3)-YEAR($E23))*12+MONTH(AD$3)-MONTH($E23))/$G23,0)*$G23)))&gt;=AD$3,IF(EDATE($E23,MAX(0,ROUNDUP(((YEAR(AD$3)-YEAR($E23))*12+MONTH(AD$3)-MONTH($E23))/$G23,0)*$G23))&lt;AD$3,EDATE($E23,MAX(0,ROUNDUP(((YEAR(AD$3)-YEAR($E23))*12+MONTH(AD$3)-MONTH($E23))/$G23,0)*$G23)+$G23),EDATE($E23,MAX(0,ROUNDUP(((YEAR(AD$3)-YEAR($E23))*12+MONTH(AD$3)-MONTH($E23))/$G23,0)*$G23)))&lt;=IF($F23="",AD$4,MIN(AD$4,$F23))),1,0)))))</f>
        <v>0</v>
      </c>
      <c r="AE23" s="25" t="n">
        <f aca="false">IF(OR($C23="",$C23=0,$E23="",$B23="",$G23=-2),0,$C23*IF($G23=0,IF(IF($F23="",AE$4,MIN(AE$4,$F23))&lt;$E23,0,MAX(0,INT((IF($F23="",AE$4,MIN(AE$4,$F23))-$E23)/7)+1-MAX(0,ROUNDUP((AE$3-$E23)/7,0)))),IF($G23=101,(AND(EOMONTH(AE$3,0)&gt;=MAX(AE$3,$E23),EOMONTH(AE$3,0)&lt;=IF($F23="",AE$4,MIN(AE$4,$F23)))*1+AND(EOMONTH(AE$4,0)&lt;&gt;EOMONTH(AE$3,0),EOMONTH(AE$4,0)&gt;=MAX(AE$3,$E23),EOMONTH(AE$4,0)&lt;=IF($F23="",AE$4,MIN(AE$4,$F23)))*1),IF($G23=102,(AND(WORKDAY(EOMONTH(AE$3,0)+1,-3)&gt;=MAX(AE$3,$E23),WORKDAY(EOMONTH(AE$3,0)+1,-3)&lt;=IF($F23="",AE$4,MIN(AE$4,$F23)))*1+AND(WORKDAY(EOMONTH(AE$4,0)+1,-3)&lt;&gt;WORKDAY(EOMONTH(AE$3,0)+1,-3),WORKDAY(EOMONTH(AE$4,0)+1,-3)&gt;=MAX(AE$3,$E23),WORKDAY(EOMONTH(AE$4,0)+1,-3)&lt;=IF($F23="",AE$4,MIN(AE$4,$F23)))*1),IF(AND(IF(EDATE($E23,MAX(0,ROUNDUP(((YEAR(AE$3)-YEAR($E23))*12+MONTH(AE$3)-MONTH($E23))/$G23,0)*$G23))&lt;AE$3,EDATE($E23,MAX(0,ROUNDUP(((YEAR(AE$3)-YEAR($E23))*12+MONTH(AE$3)-MONTH($E23))/$G23,0)*$G23)+$G23),EDATE($E23,MAX(0,ROUNDUP(((YEAR(AE$3)-YEAR($E23))*12+MONTH(AE$3)-MONTH($E23))/$G23,0)*$G23)))&gt;=AE$3,IF(EDATE($E23,MAX(0,ROUNDUP(((YEAR(AE$3)-YEAR($E23))*12+MONTH(AE$3)-MONTH($E23))/$G23,0)*$G23))&lt;AE$3,EDATE($E23,MAX(0,ROUNDUP(((YEAR(AE$3)-YEAR($E23))*12+MONTH(AE$3)-MONTH($E23))/$G23,0)*$G23)+$G23),EDATE($E23,MAX(0,ROUNDUP(((YEAR(AE$3)-YEAR($E23))*12+MONTH(AE$3)-MONTH($E23))/$G23,0)*$G23)))&lt;=IF($F23="",AE$4,MIN(AE$4,$F23))),1,0)))))</f>
        <v>0</v>
      </c>
      <c r="AF23" s="25" t="n">
        <f aca="false">IF(OR($C23="",$C23=0,$E23="",$B23="",$G23=-2),0,$C23*IF($G23=0,IF(IF($F23="",AF$4,MIN(AF$4,$F23))&lt;$E23,0,MAX(0,INT((IF($F23="",AF$4,MIN(AF$4,$F23))-$E23)/7)+1-MAX(0,ROUNDUP((AF$3-$E23)/7,0)))),IF($G23=101,(AND(EOMONTH(AF$3,0)&gt;=MAX(AF$3,$E23),EOMONTH(AF$3,0)&lt;=IF($F23="",AF$4,MIN(AF$4,$F23)))*1+AND(EOMONTH(AF$4,0)&lt;&gt;EOMONTH(AF$3,0),EOMONTH(AF$4,0)&gt;=MAX(AF$3,$E23),EOMONTH(AF$4,0)&lt;=IF($F23="",AF$4,MIN(AF$4,$F23)))*1),IF($G23=102,(AND(WORKDAY(EOMONTH(AF$3,0)+1,-3)&gt;=MAX(AF$3,$E23),WORKDAY(EOMONTH(AF$3,0)+1,-3)&lt;=IF($F23="",AF$4,MIN(AF$4,$F23)))*1+AND(WORKDAY(EOMONTH(AF$4,0)+1,-3)&lt;&gt;WORKDAY(EOMONTH(AF$3,0)+1,-3),WORKDAY(EOMONTH(AF$4,0)+1,-3)&gt;=MAX(AF$3,$E23),WORKDAY(EOMONTH(AF$4,0)+1,-3)&lt;=IF($F23="",AF$4,MIN(AF$4,$F23)))*1),IF(AND(IF(EDATE($E23,MAX(0,ROUNDUP(((YEAR(AF$3)-YEAR($E23))*12+MONTH(AF$3)-MONTH($E23))/$G23,0)*$G23))&lt;AF$3,EDATE($E23,MAX(0,ROUNDUP(((YEAR(AF$3)-YEAR($E23))*12+MONTH(AF$3)-MONTH($E23))/$G23,0)*$G23)+$G23),EDATE($E23,MAX(0,ROUNDUP(((YEAR(AF$3)-YEAR($E23))*12+MONTH(AF$3)-MONTH($E23))/$G23,0)*$G23)))&gt;=AF$3,IF(EDATE($E23,MAX(0,ROUNDUP(((YEAR(AF$3)-YEAR($E23))*12+MONTH(AF$3)-MONTH($E23))/$G23,0)*$G23))&lt;AF$3,EDATE($E23,MAX(0,ROUNDUP(((YEAR(AF$3)-YEAR($E23))*12+MONTH(AF$3)-MONTH($E23))/$G23,0)*$G23)+$G23),EDATE($E23,MAX(0,ROUNDUP(((YEAR(AF$3)-YEAR($E23))*12+MONTH(AF$3)-MONTH($E23))/$G23,0)*$G23)))&lt;=IF($F23="",AF$4,MIN(AF$4,$F23))),1,0)))))</f>
        <v>0</v>
      </c>
    </row>
    <row r="24" customFormat="false" ht="15" hidden="false" customHeight="false" outlineLevel="0" collapsed="false">
      <c r="A24" s="5"/>
      <c r="B24" s="5"/>
      <c r="C24" s="8"/>
      <c r="D24" s="5"/>
      <c r="E24" s="7"/>
      <c r="F24" s="7"/>
      <c r="G24" s="24" t="n">
        <f aca="false">IFERROR(INDEX(Listen!$E$2:$E$8,MATCH(D24,Listen!$D$2:$D$8,0)),-2)</f>
        <v>-2</v>
      </c>
      <c r="H24" s="25" t="n">
        <f aca="false">IF(OR($C24="",$C24=0,$E24="",$B24="",$G24=-2),0,$C24*IF($G24=0,IF(IF($F24="",H$4,MIN(H$4,$F24))&lt;$E24,0,MAX(0,INT((IF($F24="",H$4,MIN(H$4,$F24))-$E24)/7)+1-MAX(0,ROUNDUP((H$3-$E24)/7,0)))),IF($G24=101,(AND(EOMONTH(H$3,0)&gt;=MAX(H$3,$E24),EOMONTH(H$3,0)&lt;=IF($F24="",H$4,MIN(H$4,$F24)))*1+AND(EOMONTH(H$4,0)&lt;&gt;EOMONTH(H$3,0),EOMONTH(H$4,0)&gt;=MAX(H$3,$E24),EOMONTH(H$4,0)&lt;=IF($F24="",H$4,MIN(H$4,$F24)))*1),IF($G24=102,(AND(WORKDAY(EOMONTH(H$3,0)+1,-3)&gt;=MAX(H$3,$E24),WORKDAY(EOMONTH(H$3,0)+1,-3)&lt;=IF($F24="",H$4,MIN(H$4,$F24)))*1+AND(WORKDAY(EOMONTH(H$4,0)+1,-3)&lt;&gt;WORKDAY(EOMONTH(H$3,0)+1,-3),WORKDAY(EOMONTH(H$4,0)+1,-3)&gt;=MAX(H$3,$E24),WORKDAY(EOMONTH(H$4,0)+1,-3)&lt;=IF($F24="",H$4,MIN(H$4,$F24)))*1),IF(AND(IF(EDATE($E24,MAX(0,ROUNDUP(((YEAR(H$3)-YEAR($E24))*12+MONTH(H$3)-MONTH($E24))/$G24,0)*$G24))&lt;H$3,EDATE($E24,MAX(0,ROUNDUP(((YEAR(H$3)-YEAR($E24))*12+MONTH(H$3)-MONTH($E24))/$G24,0)*$G24)+$G24),EDATE($E24,MAX(0,ROUNDUP(((YEAR(H$3)-YEAR($E24))*12+MONTH(H$3)-MONTH($E24))/$G24,0)*$G24)))&gt;=H$3,IF(EDATE($E24,MAX(0,ROUNDUP(((YEAR(H$3)-YEAR($E24))*12+MONTH(H$3)-MONTH($E24))/$G24,0)*$G24))&lt;H$3,EDATE($E24,MAX(0,ROUNDUP(((YEAR(H$3)-YEAR($E24))*12+MONTH(H$3)-MONTH($E24))/$G24,0)*$G24)+$G24),EDATE($E24,MAX(0,ROUNDUP(((YEAR(H$3)-YEAR($E24))*12+MONTH(H$3)-MONTH($E24))/$G24,0)*$G24)))&lt;=IF($F24="",H$4,MIN(H$4,$F24))),1,0)))))</f>
        <v>0</v>
      </c>
      <c r="I24" s="25" t="n">
        <f aca="false">IF(OR($C24="",$C24=0,$E24="",$B24="",$G24=-2),0,$C24*IF($G24=0,IF(IF($F24="",I$4,MIN(I$4,$F24))&lt;$E24,0,MAX(0,INT((IF($F24="",I$4,MIN(I$4,$F24))-$E24)/7)+1-MAX(0,ROUNDUP((I$3-$E24)/7,0)))),IF($G24=101,(AND(EOMONTH(I$3,0)&gt;=MAX(I$3,$E24),EOMONTH(I$3,0)&lt;=IF($F24="",I$4,MIN(I$4,$F24)))*1+AND(EOMONTH(I$4,0)&lt;&gt;EOMONTH(I$3,0),EOMONTH(I$4,0)&gt;=MAX(I$3,$E24),EOMONTH(I$4,0)&lt;=IF($F24="",I$4,MIN(I$4,$F24)))*1),IF($G24=102,(AND(WORKDAY(EOMONTH(I$3,0)+1,-3)&gt;=MAX(I$3,$E24),WORKDAY(EOMONTH(I$3,0)+1,-3)&lt;=IF($F24="",I$4,MIN(I$4,$F24)))*1+AND(WORKDAY(EOMONTH(I$4,0)+1,-3)&lt;&gt;WORKDAY(EOMONTH(I$3,0)+1,-3),WORKDAY(EOMONTH(I$4,0)+1,-3)&gt;=MAX(I$3,$E24),WORKDAY(EOMONTH(I$4,0)+1,-3)&lt;=IF($F24="",I$4,MIN(I$4,$F24)))*1),IF(AND(IF(EDATE($E24,MAX(0,ROUNDUP(((YEAR(I$3)-YEAR($E24))*12+MONTH(I$3)-MONTH($E24))/$G24,0)*$G24))&lt;I$3,EDATE($E24,MAX(0,ROUNDUP(((YEAR(I$3)-YEAR($E24))*12+MONTH(I$3)-MONTH($E24))/$G24,0)*$G24)+$G24),EDATE($E24,MAX(0,ROUNDUP(((YEAR(I$3)-YEAR($E24))*12+MONTH(I$3)-MONTH($E24))/$G24,0)*$G24)))&gt;=I$3,IF(EDATE($E24,MAX(0,ROUNDUP(((YEAR(I$3)-YEAR($E24))*12+MONTH(I$3)-MONTH($E24))/$G24,0)*$G24))&lt;I$3,EDATE($E24,MAX(0,ROUNDUP(((YEAR(I$3)-YEAR($E24))*12+MONTH(I$3)-MONTH($E24))/$G24,0)*$G24)+$G24),EDATE($E24,MAX(0,ROUNDUP(((YEAR(I$3)-YEAR($E24))*12+MONTH(I$3)-MONTH($E24))/$G24,0)*$G24)))&lt;=IF($F24="",I$4,MIN(I$4,$F24))),1,0)))))</f>
        <v>0</v>
      </c>
      <c r="J24" s="25" t="n">
        <f aca="false">IF(OR($C24="",$C24=0,$E24="",$B24="",$G24=-2),0,$C24*IF($G24=0,IF(IF($F24="",J$4,MIN(J$4,$F24))&lt;$E24,0,MAX(0,INT((IF($F24="",J$4,MIN(J$4,$F24))-$E24)/7)+1-MAX(0,ROUNDUP((J$3-$E24)/7,0)))),IF($G24=101,(AND(EOMONTH(J$3,0)&gt;=MAX(J$3,$E24),EOMONTH(J$3,0)&lt;=IF($F24="",J$4,MIN(J$4,$F24)))*1+AND(EOMONTH(J$4,0)&lt;&gt;EOMONTH(J$3,0),EOMONTH(J$4,0)&gt;=MAX(J$3,$E24),EOMONTH(J$4,0)&lt;=IF($F24="",J$4,MIN(J$4,$F24)))*1),IF($G24=102,(AND(WORKDAY(EOMONTH(J$3,0)+1,-3)&gt;=MAX(J$3,$E24),WORKDAY(EOMONTH(J$3,0)+1,-3)&lt;=IF($F24="",J$4,MIN(J$4,$F24)))*1+AND(WORKDAY(EOMONTH(J$4,0)+1,-3)&lt;&gt;WORKDAY(EOMONTH(J$3,0)+1,-3),WORKDAY(EOMONTH(J$4,0)+1,-3)&gt;=MAX(J$3,$E24),WORKDAY(EOMONTH(J$4,0)+1,-3)&lt;=IF($F24="",J$4,MIN(J$4,$F24)))*1),IF(AND(IF(EDATE($E24,MAX(0,ROUNDUP(((YEAR(J$3)-YEAR($E24))*12+MONTH(J$3)-MONTH($E24))/$G24,0)*$G24))&lt;J$3,EDATE($E24,MAX(0,ROUNDUP(((YEAR(J$3)-YEAR($E24))*12+MONTH(J$3)-MONTH($E24))/$G24,0)*$G24)+$G24),EDATE($E24,MAX(0,ROUNDUP(((YEAR(J$3)-YEAR($E24))*12+MONTH(J$3)-MONTH($E24))/$G24,0)*$G24)))&gt;=J$3,IF(EDATE($E24,MAX(0,ROUNDUP(((YEAR(J$3)-YEAR($E24))*12+MONTH(J$3)-MONTH($E24))/$G24,0)*$G24))&lt;J$3,EDATE($E24,MAX(0,ROUNDUP(((YEAR(J$3)-YEAR($E24))*12+MONTH(J$3)-MONTH($E24))/$G24,0)*$G24)+$G24),EDATE($E24,MAX(0,ROUNDUP(((YEAR(J$3)-YEAR($E24))*12+MONTH(J$3)-MONTH($E24))/$G24,0)*$G24)))&lt;=IF($F24="",J$4,MIN(J$4,$F24))),1,0)))))</f>
        <v>0</v>
      </c>
      <c r="K24" s="25" t="n">
        <f aca="false">IF(OR($C24="",$C24=0,$E24="",$B24="",$G24=-2),0,$C24*IF($G24=0,IF(IF($F24="",K$4,MIN(K$4,$F24))&lt;$E24,0,MAX(0,INT((IF($F24="",K$4,MIN(K$4,$F24))-$E24)/7)+1-MAX(0,ROUNDUP((K$3-$E24)/7,0)))),IF($G24=101,(AND(EOMONTH(K$3,0)&gt;=MAX(K$3,$E24),EOMONTH(K$3,0)&lt;=IF($F24="",K$4,MIN(K$4,$F24)))*1+AND(EOMONTH(K$4,0)&lt;&gt;EOMONTH(K$3,0),EOMONTH(K$4,0)&gt;=MAX(K$3,$E24),EOMONTH(K$4,0)&lt;=IF($F24="",K$4,MIN(K$4,$F24)))*1),IF($G24=102,(AND(WORKDAY(EOMONTH(K$3,0)+1,-3)&gt;=MAX(K$3,$E24),WORKDAY(EOMONTH(K$3,0)+1,-3)&lt;=IF($F24="",K$4,MIN(K$4,$F24)))*1+AND(WORKDAY(EOMONTH(K$4,0)+1,-3)&lt;&gt;WORKDAY(EOMONTH(K$3,0)+1,-3),WORKDAY(EOMONTH(K$4,0)+1,-3)&gt;=MAX(K$3,$E24),WORKDAY(EOMONTH(K$4,0)+1,-3)&lt;=IF($F24="",K$4,MIN(K$4,$F24)))*1),IF(AND(IF(EDATE($E24,MAX(0,ROUNDUP(((YEAR(K$3)-YEAR($E24))*12+MONTH(K$3)-MONTH($E24))/$G24,0)*$G24))&lt;K$3,EDATE($E24,MAX(0,ROUNDUP(((YEAR(K$3)-YEAR($E24))*12+MONTH(K$3)-MONTH($E24))/$G24,0)*$G24)+$G24),EDATE($E24,MAX(0,ROUNDUP(((YEAR(K$3)-YEAR($E24))*12+MONTH(K$3)-MONTH($E24))/$G24,0)*$G24)))&gt;=K$3,IF(EDATE($E24,MAX(0,ROUNDUP(((YEAR(K$3)-YEAR($E24))*12+MONTH(K$3)-MONTH($E24))/$G24,0)*$G24))&lt;K$3,EDATE($E24,MAX(0,ROUNDUP(((YEAR(K$3)-YEAR($E24))*12+MONTH(K$3)-MONTH($E24))/$G24,0)*$G24)+$G24),EDATE($E24,MAX(0,ROUNDUP(((YEAR(K$3)-YEAR($E24))*12+MONTH(K$3)-MONTH($E24))/$G24,0)*$G24)))&lt;=IF($F24="",K$4,MIN(K$4,$F24))),1,0)))))</f>
        <v>0</v>
      </c>
      <c r="L24" s="25" t="n">
        <f aca="false">IF(OR($C24="",$C24=0,$E24="",$B24="",$G24=-2),0,$C24*IF($G24=0,IF(IF($F24="",L$4,MIN(L$4,$F24))&lt;$E24,0,MAX(0,INT((IF($F24="",L$4,MIN(L$4,$F24))-$E24)/7)+1-MAX(0,ROUNDUP((L$3-$E24)/7,0)))),IF($G24=101,(AND(EOMONTH(L$3,0)&gt;=MAX(L$3,$E24),EOMONTH(L$3,0)&lt;=IF($F24="",L$4,MIN(L$4,$F24)))*1+AND(EOMONTH(L$4,0)&lt;&gt;EOMONTH(L$3,0),EOMONTH(L$4,0)&gt;=MAX(L$3,$E24),EOMONTH(L$4,0)&lt;=IF($F24="",L$4,MIN(L$4,$F24)))*1),IF($G24=102,(AND(WORKDAY(EOMONTH(L$3,0)+1,-3)&gt;=MAX(L$3,$E24),WORKDAY(EOMONTH(L$3,0)+1,-3)&lt;=IF($F24="",L$4,MIN(L$4,$F24)))*1+AND(WORKDAY(EOMONTH(L$4,0)+1,-3)&lt;&gt;WORKDAY(EOMONTH(L$3,0)+1,-3),WORKDAY(EOMONTH(L$4,0)+1,-3)&gt;=MAX(L$3,$E24),WORKDAY(EOMONTH(L$4,0)+1,-3)&lt;=IF($F24="",L$4,MIN(L$4,$F24)))*1),IF(AND(IF(EDATE($E24,MAX(0,ROUNDUP(((YEAR(L$3)-YEAR($E24))*12+MONTH(L$3)-MONTH($E24))/$G24,0)*$G24))&lt;L$3,EDATE($E24,MAX(0,ROUNDUP(((YEAR(L$3)-YEAR($E24))*12+MONTH(L$3)-MONTH($E24))/$G24,0)*$G24)+$G24),EDATE($E24,MAX(0,ROUNDUP(((YEAR(L$3)-YEAR($E24))*12+MONTH(L$3)-MONTH($E24))/$G24,0)*$G24)))&gt;=L$3,IF(EDATE($E24,MAX(0,ROUNDUP(((YEAR(L$3)-YEAR($E24))*12+MONTH(L$3)-MONTH($E24))/$G24,0)*$G24))&lt;L$3,EDATE($E24,MAX(0,ROUNDUP(((YEAR(L$3)-YEAR($E24))*12+MONTH(L$3)-MONTH($E24))/$G24,0)*$G24)+$G24),EDATE($E24,MAX(0,ROUNDUP(((YEAR(L$3)-YEAR($E24))*12+MONTH(L$3)-MONTH($E24))/$G24,0)*$G24)))&lt;=IF($F24="",L$4,MIN(L$4,$F24))),1,0)))))</f>
        <v>0</v>
      </c>
      <c r="M24" s="25" t="n">
        <f aca="false">IF(OR($C24="",$C24=0,$E24="",$B24="",$G24=-2),0,$C24*IF($G24=0,IF(IF($F24="",M$4,MIN(M$4,$F24))&lt;$E24,0,MAX(0,INT((IF($F24="",M$4,MIN(M$4,$F24))-$E24)/7)+1-MAX(0,ROUNDUP((M$3-$E24)/7,0)))),IF($G24=101,(AND(EOMONTH(M$3,0)&gt;=MAX(M$3,$E24),EOMONTH(M$3,0)&lt;=IF($F24="",M$4,MIN(M$4,$F24)))*1+AND(EOMONTH(M$4,0)&lt;&gt;EOMONTH(M$3,0),EOMONTH(M$4,0)&gt;=MAX(M$3,$E24),EOMONTH(M$4,0)&lt;=IF($F24="",M$4,MIN(M$4,$F24)))*1),IF($G24=102,(AND(WORKDAY(EOMONTH(M$3,0)+1,-3)&gt;=MAX(M$3,$E24),WORKDAY(EOMONTH(M$3,0)+1,-3)&lt;=IF($F24="",M$4,MIN(M$4,$F24)))*1+AND(WORKDAY(EOMONTH(M$4,0)+1,-3)&lt;&gt;WORKDAY(EOMONTH(M$3,0)+1,-3),WORKDAY(EOMONTH(M$4,0)+1,-3)&gt;=MAX(M$3,$E24),WORKDAY(EOMONTH(M$4,0)+1,-3)&lt;=IF($F24="",M$4,MIN(M$4,$F24)))*1),IF(AND(IF(EDATE($E24,MAX(0,ROUNDUP(((YEAR(M$3)-YEAR($E24))*12+MONTH(M$3)-MONTH($E24))/$G24,0)*$G24))&lt;M$3,EDATE($E24,MAX(0,ROUNDUP(((YEAR(M$3)-YEAR($E24))*12+MONTH(M$3)-MONTH($E24))/$G24,0)*$G24)+$G24),EDATE($E24,MAX(0,ROUNDUP(((YEAR(M$3)-YEAR($E24))*12+MONTH(M$3)-MONTH($E24))/$G24,0)*$G24)))&gt;=M$3,IF(EDATE($E24,MAX(0,ROUNDUP(((YEAR(M$3)-YEAR($E24))*12+MONTH(M$3)-MONTH($E24))/$G24,0)*$G24))&lt;M$3,EDATE($E24,MAX(0,ROUNDUP(((YEAR(M$3)-YEAR($E24))*12+MONTH(M$3)-MONTH($E24))/$G24,0)*$G24)+$G24),EDATE($E24,MAX(0,ROUNDUP(((YEAR(M$3)-YEAR($E24))*12+MONTH(M$3)-MONTH($E24))/$G24,0)*$G24)))&lt;=IF($F24="",M$4,MIN(M$4,$F24))),1,0)))))</f>
        <v>0</v>
      </c>
      <c r="N24" s="25" t="n">
        <f aca="false">IF(OR($C24="",$C24=0,$E24="",$B24="",$G24=-2),0,$C24*IF($G24=0,IF(IF($F24="",N$4,MIN(N$4,$F24))&lt;$E24,0,MAX(0,INT((IF($F24="",N$4,MIN(N$4,$F24))-$E24)/7)+1-MAX(0,ROUNDUP((N$3-$E24)/7,0)))),IF($G24=101,(AND(EOMONTH(N$3,0)&gt;=MAX(N$3,$E24),EOMONTH(N$3,0)&lt;=IF($F24="",N$4,MIN(N$4,$F24)))*1+AND(EOMONTH(N$4,0)&lt;&gt;EOMONTH(N$3,0),EOMONTH(N$4,0)&gt;=MAX(N$3,$E24),EOMONTH(N$4,0)&lt;=IF($F24="",N$4,MIN(N$4,$F24)))*1),IF($G24=102,(AND(WORKDAY(EOMONTH(N$3,0)+1,-3)&gt;=MAX(N$3,$E24),WORKDAY(EOMONTH(N$3,0)+1,-3)&lt;=IF($F24="",N$4,MIN(N$4,$F24)))*1+AND(WORKDAY(EOMONTH(N$4,0)+1,-3)&lt;&gt;WORKDAY(EOMONTH(N$3,0)+1,-3),WORKDAY(EOMONTH(N$4,0)+1,-3)&gt;=MAX(N$3,$E24),WORKDAY(EOMONTH(N$4,0)+1,-3)&lt;=IF($F24="",N$4,MIN(N$4,$F24)))*1),IF(AND(IF(EDATE($E24,MAX(0,ROUNDUP(((YEAR(N$3)-YEAR($E24))*12+MONTH(N$3)-MONTH($E24))/$G24,0)*$G24))&lt;N$3,EDATE($E24,MAX(0,ROUNDUP(((YEAR(N$3)-YEAR($E24))*12+MONTH(N$3)-MONTH($E24))/$G24,0)*$G24)+$G24),EDATE($E24,MAX(0,ROUNDUP(((YEAR(N$3)-YEAR($E24))*12+MONTH(N$3)-MONTH($E24))/$G24,0)*$G24)))&gt;=N$3,IF(EDATE($E24,MAX(0,ROUNDUP(((YEAR(N$3)-YEAR($E24))*12+MONTH(N$3)-MONTH($E24))/$G24,0)*$G24))&lt;N$3,EDATE($E24,MAX(0,ROUNDUP(((YEAR(N$3)-YEAR($E24))*12+MONTH(N$3)-MONTH($E24))/$G24,0)*$G24)+$G24),EDATE($E24,MAX(0,ROUNDUP(((YEAR(N$3)-YEAR($E24))*12+MONTH(N$3)-MONTH($E24))/$G24,0)*$G24)))&lt;=IF($F24="",N$4,MIN(N$4,$F24))),1,0)))))</f>
        <v>0</v>
      </c>
      <c r="O24" s="25" t="n">
        <f aca="false">IF(OR($C24="",$C24=0,$E24="",$B24="",$G24=-2),0,$C24*IF($G24=0,IF(IF($F24="",O$4,MIN(O$4,$F24))&lt;$E24,0,MAX(0,INT((IF($F24="",O$4,MIN(O$4,$F24))-$E24)/7)+1-MAX(0,ROUNDUP((O$3-$E24)/7,0)))),IF($G24=101,(AND(EOMONTH(O$3,0)&gt;=MAX(O$3,$E24),EOMONTH(O$3,0)&lt;=IF($F24="",O$4,MIN(O$4,$F24)))*1+AND(EOMONTH(O$4,0)&lt;&gt;EOMONTH(O$3,0),EOMONTH(O$4,0)&gt;=MAX(O$3,$E24),EOMONTH(O$4,0)&lt;=IF($F24="",O$4,MIN(O$4,$F24)))*1),IF($G24=102,(AND(WORKDAY(EOMONTH(O$3,0)+1,-3)&gt;=MAX(O$3,$E24),WORKDAY(EOMONTH(O$3,0)+1,-3)&lt;=IF($F24="",O$4,MIN(O$4,$F24)))*1+AND(WORKDAY(EOMONTH(O$4,0)+1,-3)&lt;&gt;WORKDAY(EOMONTH(O$3,0)+1,-3),WORKDAY(EOMONTH(O$4,0)+1,-3)&gt;=MAX(O$3,$E24),WORKDAY(EOMONTH(O$4,0)+1,-3)&lt;=IF($F24="",O$4,MIN(O$4,$F24)))*1),IF(AND(IF(EDATE($E24,MAX(0,ROUNDUP(((YEAR(O$3)-YEAR($E24))*12+MONTH(O$3)-MONTH($E24))/$G24,0)*$G24))&lt;O$3,EDATE($E24,MAX(0,ROUNDUP(((YEAR(O$3)-YEAR($E24))*12+MONTH(O$3)-MONTH($E24))/$G24,0)*$G24)+$G24),EDATE($E24,MAX(0,ROUNDUP(((YEAR(O$3)-YEAR($E24))*12+MONTH(O$3)-MONTH($E24))/$G24,0)*$G24)))&gt;=O$3,IF(EDATE($E24,MAX(0,ROUNDUP(((YEAR(O$3)-YEAR($E24))*12+MONTH(O$3)-MONTH($E24))/$G24,0)*$G24))&lt;O$3,EDATE($E24,MAX(0,ROUNDUP(((YEAR(O$3)-YEAR($E24))*12+MONTH(O$3)-MONTH($E24))/$G24,0)*$G24)+$G24),EDATE($E24,MAX(0,ROUNDUP(((YEAR(O$3)-YEAR($E24))*12+MONTH(O$3)-MONTH($E24))/$G24,0)*$G24)))&lt;=IF($F24="",O$4,MIN(O$4,$F24))),1,0)))))</f>
        <v>0</v>
      </c>
      <c r="P24" s="25" t="n">
        <f aca="false">IF(OR($C24="",$C24=0,$E24="",$B24="",$G24=-2),0,$C24*IF($G24=0,IF(IF($F24="",P$4,MIN(P$4,$F24))&lt;$E24,0,MAX(0,INT((IF($F24="",P$4,MIN(P$4,$F24))-$E24)/7)+1-MAX(0,ROUNDUP((P$3-$E24)/7,0)))),IF($G24=101,(AND(EOMONTH(P$3,0)&gt;=MAX(P$3,$E24),EOMONTH(P$3,0)&lt;=IF($F24="",P$4,MIN(P$4,$F24)))*1+AND(EOMONTH(P$4,0)&lt;&gt;EOMONTH(P$3,0),EOMONTH(P$4,0)&gt;=MAX(P$3,$E24),EOMONTH(P$4,0)&lt;=IF($F24="",P$4,MIN(P$4,$F24)))*1),IF($G24=102,(AND(WORKDAY(EOMONTH(P$3,0)+1,-3)&gt;=MAX(P$3,$E24),WORKDAY(EOMONTH(P$3,0)+1,-3)&lt;=IF($F24="",P$4,MIN(P$4,$F24)))*1+AND(WORKDAY(EOMONTH(P$4,0)+1,-3)&lt;&gt;WORKDAY(EOMONTH(P$3,0)+1,-3),WORKDAY(EOMONTH(P$4,0)+1,-3)&gt;=MAX(P$3,$E24),WORKDAY(EOMONTH(P$4,0)+1,-3)&lt;=IF($F24="",P$4,MIN(P$4,$F24)))*1),IF(AND(IF(EDATE($E24,MAX(0,ROUNDUP(((YEAR(P$3)-YEAR($E24))*12+MONTH(P$3)-MONTH($E24))/$G24,0)*$G24))&lt;P$3,EDATE($E24,MAX(0,ROUNDUP(((YEAR(P$3)-YEAR($E24))*12+MONTH(P$3)-MONTH($E24))/$G24,0)*$G24)+$G24),EDATE($E24,MAX(0,ROUNDUP(((YEAR(P$3)-YEAR($E24))*12+MONTH(P$3)-MONTH($E24))/$G24,0)*$G24)))&gt;=P$3,IF(EDATE($E24,MAX(0,ROUNDUP(((YEAR(P$3)-YEAR($E24))*12+MONTH(P$3)-MONTH($E24))/$G24,0)*$G24))&lt;P$3,EDATE($E24,MAX(0,ROUNDUP(((YEAR(P$3)-YEAR($E24))*12+MONTH(P$3)-MONTH($E24))/$G24,0)*$G24)+$G24),EDATE($E24,MAX(0,ROUNDUP(((YEAR(P$3)-YEAR($E24))*12+MONTH(P$3)-MONTH($E24))/$G24,0)*$G24)))&lt;=IF($F24="",P$4,MIN(P$4,$F24))),1,0)))))</f>
        <v>0</v>
      </c>
      <c r="Q24" s="25" t="n">
        <f aca="false">IF(OR($C24="",$C24=0,$E24="",$B24="",$G24=-2),0,$C24*IF($G24=0,IF(IF($F24="",Q$4,MIN(Q$4,$F24))&lt;$E24,0,MAX(0,INT((IF($F24="",Q$4,MIN(Q$4,$F24))-$E24)/7)+1-MAX(0,ROUNDUP((Q$3-$E24)/7,0)))),IF($G24=101,(AND(EOMONTH(Q$3,0)&gt;=MAX(Q$3,$E24),EOMONTH(Q$3,0)&lt;=IF($F24="",Q$4,MIN(Q$4,$F24)))*1+AND(EOMONTH(Q$4,0)&lt;&gt;EOMONTH(Q$3,0),EOMONTH(Q$4,0)&gt;=MAX(Q$3,$E24),EOMONTH(Q$4,0)&lt;=IF($F24="",Q$4,MIN(Q$4,$F24)))*1),IF($G24=102,(AND(WORKDAY(EOMONTH(Q$3,0)+1,-3)&gt;=MAX(Q$3,$E24),WORKDAY(EOMONTH(Q$3,0)+1,-3)&lt;=IF($F24="",Q$4,MIN(Q$4,$F24)))*1+AND(WORKDAY(EOMONTH(Q$4,0)+1,-3)&lt;&gt;WORKDAY(EOMONTH(Q$3,0)+1,-3),WORKDAY(EOMONTH(Q$4,0)+1,-3)&gt;=MAX(Q$3,$E24),WORKDAY(EOMONTH(Q$4,0)+1,-3)&lt;=IF($F24="",Q$4,MIN(Q$4,$F24)))*1),IF(AND(IF(EDATE($E24,MAX(0,ROUNDUP(((YEAR(Q$3)-YEAR($E24))*12+MONTH(Q$3)-MONTH($E24))/$G24,0)*$G24))&lt;Q$3,EDATE($E24,MAX(0,ROUNDUP(((YEAR(Q$3)-YEAR($E24))*12+MONTH(Q$3)-MONTH($E24))/$G24,0)*$G24)+$G24),EDATE($E24,MAX(0,ROUNDUP(((YEAR(Q$3)-YEAR($E24))*12+MONTH(Q$3)-MONTH($E24))/$G24,0)*$G24)))&gt;=Q$3,IF(EDATE($E24,MAX(0,ROUNDUP(((YEAR(Q$3)-YEAR($E24))*12+MONTH(Q$3)-MONTH($E24))/$G24,0)*$G24))&lt;Q$3,EDATE($E24,MAX(0,ROUNDUP(((YEAR(Q$3)-YEAR($E24))*12+MONTH(Q$3)-MONTH($E24))/$G24,0)*$G24)+$G24),EDATE($E24,MAX(0,ROUNDUP(((YEAR(Q$3)-YEAR($E24))*12+MONTH(Q$3)-MONTH($E24))/$G24,0)*$G24)))&lt;=IF($F24="",Q$4,MIN(Q$4,$F24))),1,0)))))</f>
        <v>0</v>
      </c>
      <c r="R24" s="25" t="n">
        <f aca="false">IF(OR($C24="",$C24=0,$E24="",$B24="",$G24=-2),0,$C24*IF($G24=0,IF(IF($F24="",R$4,MIN(R$4,$F24))&lt;$E24,0,MAX(0,INT((IF($F24="",R$4,MIN(R$4,$F24))-$E24)/7)+1-MAX(0,ROUNDUP((R$3-$E24)/7,0)))),IF($G24=101,(AND(EOMONTH(R$3,0)&gt;=MAX(R$3,$E24),EOMONTH(R$3,0)&lt;=IF($F24="",R$4,MIN(R$4,$F24)))*1+AND(EOMONTH(R$4,0)&lt;&gt;EOMONTH(R$3,0),EOMONTH(R$4,0)&gt;=MAX(R$3,$E24),EOMONTH(R$4,0)&lt;=IF($F24="",R$4,MIN(R$4,$F24)))*1),IF($G24=102,(AND(WORKDAY(EOMONTH(R$3,0)+1,-3)&gt;=MAX(R$3,$E24),WORKDAY(EOMONTH(R$3,0)+1,-3)&lt;=IF($F24="",R$4,MIN(R$4,$F24)))*1+AND(WORKDAY(EOMONTH(R$4,0)+1,-3)&lt;&gt;WORKDAY(EOMONTH(R$3,0)+1,-3),WORKDAY(EOMONTH(R$4,0)+1,-3)&gt;=MAX(R$3,$E24),WORKDAY(EOMONTH(R$4,0)+1,-3)&lt;=IF($F24="",R$4,MIN(R$4,$F24)))*1),IF(AND(IF(EDATE($E24,MAX(0,ROUNDUP(((YEAR(R$3)-YEAR($E24))*12+MONTH(R$3)-MONTH($E24))/$G24,0)*$G24))&lt;R$3,EDATE($E24,MAX(0,ROUNDUP(((YEAR(R$3)-YEAR($E24))*12+MONTH(R$3)-MONTH($E24))/$G24,0)*$G24)+$G24),EDATE($E24,MAX(0,ROUNDUP(((YEAR(R$3)-YEAR($E24))*12+MONTH(R$3)-MONTH($E24))/$G24,0)*$G24)))&gt;=R$3,IF(EDATE($E24,MAX(0,ROUNDUP(((YEAR(R$3)-YEAR($E24))*12+MONTH(R$3)-MONTH($E24))/$G24,0)*$G24))&lt;R$3,EDATE($E24,MAX(0,ROUNDUP(((YEAR(R$3)-YEAR($E24))*12+MONTH(R$3)-MONTH($E24))/$G24,0)*$G24)+$G24),EDATE($E24,MAX(0,ROUNDUP(((YEAR(R$3)-YEAR($E24))*12+MONTH(R$3)-MONTH($E24))/$G24,0)*$G24)))&lt;=IF($F24="",R$4,MIN(R$4,$F24))),1,0)))))</f>
        <v>0</v>
      </c>
      <c r="S24" s="25" t="n">
        <f aca="false">IF(OR($C24="",$C24=0,$E24="",$B24="",$G24=-2),0,$C24*IF($G24=0,IF(IF($F24="",S$4,MIN(S$4,$F24))&lt;$E24,0,MAX(0,INT((IF($F24="",S$4,MIN(S$4,$F24))-$E24)/7)+1-MAX(0,ROUNDUP((S$3-$E24)/7,0)))),IF($G24=101,(AND(EOMONTH(S$3,0)&gt;=MAX(S$3,$E24),EOMONTH(S$3,0)&lt;=IF($F24="",S$4,MIN(S$4,$F24)))*1+AND(EOMONTH(S$4,0)&lt;&gt;EOMONTH(S$3,0),EOMONTH(S$4,0)&gt;=MAX(S$3,$E24),EOMONTH(S$4,0)&lt;=IF($F24="",S$4,MIN(S$4,$F24)))*1),IF($G24=102,(AND(WORKDAY(EOMONTH(S$3,0)+1,-3)&gt;=MAX(S$3,$E24),WORKDAY(EOMONTH(S$3,0)+1,-3)&lt;=IF($F24="",S$4,MIN(S$4,$F24)))*1+AND(WORKDAY(EOMONTH(S$4,0)+1,-3)&lt;&gt;WORKDAY(EOMONTH(S$3,0)+1,-3),WORKDAY(EOMONTH(S$4,0)+1,-3)&gt;=MAX(S$3,$E24),WORKDAY(EOMONTH(S$4,0)+1,-3)&lt;=IF($F24="",S$4,MIN(S$4,$F24)))*1),IF(AND(IF(EDATE($E24,MAX(0,ROUNDUP(((YEAR(S$3)-YEAR($E24))*12+MONTH(S$3)-MONTH($E24))/$G24,0)*$G24))&lt;S$3,EDATE($E24,MAX(0,ROUNDUP(((YEAR(S$3)-YEAR($E24))*12+MONTH(S$3)-MONTH($E24))/$G24,0)*$G24)+$G24),EDATE($E24,MAX(0,ROUNDUP(((YEAR(S$3)-YEAR($E24))*12+MONTH(S$3)-MONTH($E24))/$G24,0)*$G24)))&gt;=S$3,IF(EDATE($E24,MAX(0,ROUNDUP(((YEAR(S$3)-YEAR($E24))*12+MONTH(S$3)-MONTH($E24))/$G24,0)*$G24))&lt;S$3,EDATE($E24,MAX(0,ROUNDUP(((YEAR(S$3)-YEAR($E24))*12+MONTH(S$3)-MONTH($E24))/$G24,0)*$G24)+$G24),EDATE($E24,MAX(0,ROUNDUP(((YEAR(S$3)-YEAR($E24))*12+MONTH(S$3)-MONTH($E24))/$G24,0)*$G24)))&lt;=IF($F24="",S$4,MIN(S$4,$F24))),1,0)))))</f>
        <v>0</v>
      </c>
      <c r="T24" s="25" t="n">
        <f aca="false">IF(OR($C24="",$C24=0,$E24="",$B24="",$G24=-2),0,$C24*IF($G24=0,IF(IF($F24="",T$4,MIN(T$4,$F24))&lt;$E24,0,MAX(0,INT((IF($F24="",T$4,MIN(T$4,$F24))-$E24)/7)+1-MAX(0,ROUNDUP((T$3-$E24)/7,0)))),IF($G24=101,(AND(EOMONTH(T$3,0)&gt;=MAX(T$3,$E24),EOMONTH(T$3,0)&lt;=IF($F24="",T$4,MIN(T$4,$F24)))*1+AND(EOMONTH(T$4,0)&lt;&gt;EOMONTH(T$3,0),EOMONTH(T$4,0)&gt;=MAX(T$3,$E24),EOMONTH(T$4,0)&lt;=IF($F24="",T$4,MIN(T$4,$F24)))*1),IF($G24=102,(AND(WORKDAY(EOMONTH(T$3,0)+1,-3)&gt;=MAX(T$3,$E24),WORKDAY(EOMONTH(T$3,0)+1,-3)&lt;=IF($F24="",T$4,MIN(T$4,$F24)))*1+AND(WORKDAY(EOMONTH(T$4,0)+1,-3)&lt;&gt;WORKDAY(EOMONTH(T$3,0)+1,-3),WORKDAY(EOMONTH(T$4,0)+1,-3)&gt;=MAX(T$3,$E24),WORKDAY(EOMONTH(T$4,0)+1,-3)&lt;=IF($F24="",T$4,MIN(T$4,$F24)))*1),IF(AND(IF(EDATE($E24,MAX(0,ROUNDUP(((YEAR(T$3)-YEAR($E24))*12+MONTH(T$3)-MONTH($E24))/$G24,0)*$G24))&lt;T$3,EDATE($E24,MAX(0,ROUNDUP(((YEAR(T$3)-YEAR($E24))*12+MONTH(T$3)-MONTH($E24))/$G24,0)*$G24)+$G24),EDATE($E24,MAX(0,ROUNDUP(((YEAR(T$3)-YEAR($E24))*12+MONTH(T$3)-MONTH($E24))/$G24,0)*$G24)))&gt;=T$3,IF(EDATE($E24,MAX(0,ROUNDUP(((YEAR(T$3)-YEAR($E24))*12+MONTH(T$3)-MONTH($E24))/$G24,0)*$G24))&lt;T$3,EDATE($E24,MAX(0,ROUNDUP(((YEAR(T$3)-YEAR($E24))*12+MONTH(T$3)-MONTH($E24))/$G24,0)*$G24)+$G24),EDATE($E24,MAX(0,ROUNDUP(((YEAR(T$3)-YEAR($E24))*12+MONTH(T$3)-MONTH($E24))/$G24,0)*$G24)))&lt;=IF($F24="",T$4,MIN(T$4,$F24))),1,0)))))</f>
        <v>0</v>
      </c>
      <c r="U24" s="25" t="n">
        <f aca="false">IF(OR($C24="",$C24=0,$E24="",$B24="",$G24=-2),0,$C24*IF($G24=0,IF(IF($F24="",U$4,MIN(U$4,$F24))&lt;$E24,0,MAX(0,INT((IF($F24="",U$4,MIN(U$4,$F24))-$E24)/7)+1-MAX(0,ROUNDUP((U$3-$E24)/7,0)))),IF($G24=101,(AND(EOMONTH(U$3,0)&gt;=MAX(U$3,$E24),EOMONTH(U$3,0)&lt;=IF($F24="",U$4,MIN(U$4,$F24)))*1+AND(EOMONTH(U$4,0)&lt;&gt;EOMONTH(U$3,0),EOMONTH(U$4,0)&gt;=MAX(U$3,$E24),EOMONTH(U$4,0)&lt;=IF($F24="",U$4,MIN(U$4,$F24)))*1),IF($G24=102,(AND(WORKDAY(EOMONTH(U$3,0)+1,-3)&gt;=MAX(U$3,$E24),WORKDAY(EOMONTH(U$3,0)+1,-3)&lt;=IF($F24="",U$4,MIN(U$4,$F24)))*1+AND(WORKDAY(EOMONTH(U$4,0)+1,-3)&lt;&gt;WORKDAY(EOMONTH(U$3,0)+1,-3),WORKDAY(EOMONTH(U$4,0)+1,-3)&gt;=MAX(U$3,$E24),WORKDAY(EOMONTH(U$4,0)+1,-3)&lt;=IF($F24="",U$4,MIN(U$4,$F24)))*1),IF(AND(IF(EDATE($E24,MAX(0,ROUNDUP(((YEAR(U$3)-YEAR($E24))*12+MONTH(U$3)-MONTH($E24))/$G24,0)*$G24))&lt;U$3,EDATE($E24,MAX(0,ROUNDUP(((YEAR(U$3)-YEAR($E24))*12+MONTH(U$3)-MONTH($E24))/$G24,0)*$G24)+$G24),EDATE($E24,MAX(0,ROUNDUP(((YEAR(U$3)-YEAR($E24))*12+MONTH(U$3)-MONTH($E24))/$G24,0)*$G24)))&gt;=U$3,IF(EDATE($E24,MAX(0,ROUNDUP(((YEAR(U$3)-YEAR($E24))*12+MONTH(U$3)-MONTH($E24))/$G24,0)*$G24))&lt;U$3,EDATE($E24,MAX(0,ROUNDUP(((YEAR(U$3)-YEAR($E24))*12+MONTH(U$3)-MONTH($E24))/$G24,0)*$G24)+$G24),EDATE($E24,MAX(0,ROUNDUP(((YEAR(U$3)-YEAR($E24))*12+MONTH(U$3)-MONTH($E24))/$G24,0)*$G24)))&lt;=IF($F24="",U$4,MIN(U$4,$F24))),1,0)))))</f>
        <v>0</v>
      </c>
      <c r="V24" s="25" t="n">
        <f aca="false">IF(OR($C24="",$C24=0,$E24="",$B24="",$G24=-2),0,$C24*IF($G24=0,IF(IF($F24="",V$4,MIN(V$4,$F24))&lt;$E24,0,MAX(0,INT((IF($F24="",V$4,MIN(V$4,$F24))-$E24)/7)+1-MAX(0,ROUNDUP((V$3-$E24)/7,0)))),IF($G24=101,(AND(EOMONTH(V$3,0)&gt;=MAX(V$3,$E24),EOMONTH(V$3,0)&lt;=IF($F24="",V$4,MIN(V$4,$F24)))*1+AND(EOMONTH(V$4,0)&lt;&gt;EOMONTH(V$3,0),EOMONTH(V$4,0)&gt;=MAX(V$3,$E24),EOMONTH(V$4,0)&lt;=IF($F24="",V$4,MIN(V$4,$F24)))*1),IF($G24=102,(AND(WORKDAY(EOMONTH(V$3,0)+1,-3)&gt;=MAX(V$3,$E24),WORKDAY(EOMONTH(V$3,0)+1,-3)&lt;=IF($F24="",V$4,MIN(V$4,$F24)))*1+AND(WORKDAY(EOMONTH(V$4,0)+1,-3)&lt;&gt;WORKDAY(EOMONTH(V$3,0)+1,-3),WORKDAY(EOMONTH(V$4,0)+1,-3)&gt;=MAX(V$3,$E24),WORKDAY(EOMONTH(V$4,0)+1,-3)&lt;=IF($F24="",V$4,MIN(V$4,$F24)))*1),IF(AND(IF(EDATE($E24,MAX(0,ROUNDUP(((YEAR(V$3)-YEAR($E24))*12+MONTH(V$3)-MONTH($E24))/$G24,0)*$G24))&lt;V$3,EDATE($E24,MAX(0,ROUNDUP(((YEAR(V$3)-YEAR($E24))*12+MONTH(V$3)-MONTH($E24))/$G24,0)*$G24)+$G24),EDATE($E24,MAX(0,ROUNDUP(((YEAR(V$3)-YEAR($E24))*12+MONTH(V$3)-MONTH($E24))/$G24,0)*$G24)))&gt;=V$3,IF(EDATE($E24,MAX(0,ROUNDUP(((YEAR(V$3)-YEAR($E24))*12+MONTH(V$3)-MONTH($E24))/$G24,0)*$G24))&lt;V$3,EDATE($E24,MAX(0,ROUNDUP(((YEAR(V$3)-YEAR($E24))*12+MONTH(V$3)-MONTH($E24))/$G24,0)*$G24)+$G24),EDATE($E24,MAX(0,ROUNDUP(((YEAR(V$3)-YEAR($E24))*12+MONTH(V$3)-MONTH($E24))/$G24,0)*$G24)))&lt;=IF($F24="",V$4,MIN(V$4,$F24))),1,0)))))</f>
        <v>0</v>
      </c>
      <c r="W24" s="25" t="n">
        <f aca="false">IF(OR($C24="",$C24=0,$E24="",$B24="",$G24=-2),0,$C24*IF($G24=0,IF(IF($F24="",W$4,MIN(W$4,$F24))&lt;$E24,0,MAX(0,INT((IF($F24="",W$4,MIN(W$4,$F24))-$E24)/7)+1-MAX(0,ROUNDUP((W$3-$E24)/7,0)))),IF($G24=101,(AND(EOMONTH(W$3,0)&gt;=MAX(W$3,$E24),EOMONTH(W$3,0)&lt;=IF($F24="",W$4,MIN(W$4,$F24)))*1+AND(EOMONTH(W$4,0)&lt;&gt;EOMONTH(W$3,0),EOMONTH(W$4,0)&gt;=MAX(W$3,$E24),EOMONTH(W$4,0)&lt;=IF($F24="",W$4,MIN(W$4,$F24)))*1),IF($G24=102,(AND(WORKDAY(EOMONTH(W$3,0)+1,-3)&gt;=MAX(W$3,$E24),WORKDAY(EOMONTH(W$3,0)+1,-3)&lt;=IF($F24="",W$4,MIN(W$4,$F24)))*1+AND(WORKDAY(EOMONTH(W$4,0)+1,-3)&lt;&gt;WORKDAY(EOMONTH(W$3,0)+1,-3),WORKDAY(EOMONTH(W$4,0)+1,-3)&gt;=MAX(W$3,$E24),WORKDAY(EOMONTH(W$4,0)+1,-3)&lt;=IF($F24="",W$4,MIN(W$4,$F24)))*1),IF(AND(IF(EDATE($E24,MAX(0,ROUNDUP(((YEAR(W$3)-YEAR($E24))*12+MONTH(W$3)-MONTH($E24))/$G24,0)*$G24))&lt;W$3,EDATE($E24,MAX(0,ROUNDUP(((YEAR(W$3)-YEAR($E24))*12+MONTH(W$3)-MONTH($E24))/$G24,0)*$G24)+$G24),EDATE($E24,MAX(0,ROUNDUP(((YEAR(W$3)-YEAR($E24))*12+MONTH(W$3)-MONTH($E24))/$G24,0)*$G24)))&gt;=W$3,IF(EDATE($E24,MAX(0,ROUNDUP(((YEAR(W$3)-YEAR($E24))*12+MONTH(W$3)-MONTH($E24))/$G24,0)*$G24))&lt;W$3,EDATE($E24,MAX(0,ROUNDUP(((YEAR(W$3)-YEAR($E24))*12+MONTH(W$3)-MONTH($E24))/$G24,0)*$G24)+$G24),EDATE($E24,MAX(0,ROUNDUP(((YEAR(W$3)-YEAR($E24))*12+MONTH(W$3)-MONTH($E24))/$G24,0)*$G24)))&lt;=IF($F24="",W$4,MIN(W$4,$F24))),1,0)))))</f>
        <v>0</v>
      </c>
      <c r="X24" s="25" t="n">
        <f aca="false">IF(OR($C24="",$C24=0,$E24="",$B24="",$G24=-2),0,$C24*IF($G24=0,IF(IF($F24="",X$4,MIN(X$4,$F24))&lt;$E24,0,MAX(0,INT((IF($F24="",X$4,MIN(X$4,$F24))-$E24)/7)+1-MAX(0,ROUNDUP((X$3-$E24)/7,0)))),IF($G24=101,(AND(EOMONTH(X$3,0)&gt;=MAX(X$3,$E24),EOMONTH(X$3,0)&lt;=IF($F24="",X$4,MIN(X$4,$F24)))*1+AND(EOMONTH(X$4,0)&lt;&gt;EOMONTH(X$3,0),EOMONTH(X$4,0)&gt;=MAX(X$3,$E24),EOMONTH(X$4,0)&lt;=IF($F24="",X$4,MIN(X$4,$F24)))*1),IF($G24=102,(AND(WORKDAY(EOMONTH(X$3,0)+1,-3)&gt;=MAX(X$3,$E24),WORKDAY(EOMONTH(X$3,0)+1,-3)&lt;=IF($F24="",X$4,MIN(X$4,$F24)))*1+AND(WORKDAY(EOMONTH(X$4,0)+1,-3)&lt;&gt;WORKDAY(EOMONTH(X$3,0)+1,-3),WORKDAY(EOMONTH(X$4,0)+1,-3)&gt;=MAX(X$3,$E24),WORKDAY(EOMONTH(X$4,0)+1,-3)&lt;=IF($F24="",X$4,MIN(X$4,$F24)))*1),IF(AND(IF(EDATE($E24,MAX(0,ROUNDUP(((YEAR(X$3)-YEAR($E24))*12+MONTH(X$3)-MONTH($E24))/$G24,0)*$G24))&lt;X$3,EDATE($E24,MAX(0,ROUNDUP(((YEAR(X$3)-YEAR($E24))*12+MONTH(X$3)-MONTH($E24))/$G24,0)*$G24)+$G24),EDATE($E24,MAX(0,ROUNDUP(((YEAR(X$3)-YEAR($E24))*12+MONTH(X$3)-MONTH($E24))/$G24,0)*$G24)))&gt;=X$3,IF(EDATE($E24,MAX(0,ROUNDUP(((YEAR(X$3)-YEAR($E24))*12+MONTH(X$3)-MONTH($E24))/$G24,0)*$G24))&lt;X$3,EDATE($E24,MAX(0,ROUNDUP(((YEAR(X$3)-YEAR($E24))*12+MONTH(X$3)-MONTH($E24))/$G24,0)*$G24)+$G24),EDATE($E24,MAX(0,ROUNDUP(((YEAR(X$3)-YEAR($E24))*12+MONTH(X$3)-MONTH($E24))/$G24,0)*$G24)))&lt;=IF($F24="",X$4,MIN(X$4,$F24))),1,0)))))</f>
        <v>0</v>
      </c>
      <c r="Y24" s="25" t="n">
        <f aca="false">IF(OR($C24="",$C24=0,$E24="",$B24="",$G24=-2),0,$C24*IF($G24=0,IF(IF($F24="",Y$4,MIN(Y$4,$F24))&lt;$E24,0,MAX(0,INT((IF($F24="",Y$4,MIN(Y$4,$F24))-$E24)/7)+1-MAX(0,ROUNDUP((Y$3-$E24)/7,0)))),IF($G24=101,(AND(EOMONTH(Y$3,0)&gt;=MAX(Y$3,$E24),EOMONTH(Y$3,0)&lt;=IF($F24="",Y$4,MIN(Y$4,$F24)))*1+AND(EOMONTH(Y$4,0)&lt;&gt;EOMONTH(Y$3,0),EOMONTH(Y$4,0)&gt;=MAX(Y$3,$E24),EOMONTH(Y$4,0)&lt;=IF($F24="",Y$4,MIN(Y$4,$F24)))*1),IF($G24=102,(AND(WORKDAY(EOMONTH(Y$3,0)+1,-3)&gt;=MAX(Y$3,$E24),WORKDAY(EOMONTH(Y$3,0)+1,-3)&lt;=IF($F24="",Y$4,MIN(Y$4,$F24)))*1+AND(WORKDAY(EOMONTH(Y$4,0)+1,-3)&lt;&gt;WORKDAY(EOMONTH(Y$3,0)+1,-3),WORKDAY(EOMONTH(Y$4,0)+1,-3)&gt;=MAX(Y$3,$E24),WORKDAY(EOMONTH(Y$4,0)+1,-3)&lt;=IF($F24="",Y$4,MIN(Y$4,$F24)))*1),IF(AND(IF(EDATE($E24,MAX(0,ROUNDUP(((YEAR(Y$3)-YEAR($E24))*12+MONTH(Y$3)-MONTH($E24))/$G24,0)*$G24))&lt;Y$3,EDATE($E24,MAX(0,ROUNDUP(((YEAR(Y$3)-YEAR($E24))*12+MONTH(Y$3)-MONTH($E24))/$G24,0)*$G24)+$G24),EDATE($E24,MAX(0,ROUNDUP(((YEAR(Y$3)-YEAR($E24))*12+MONTH(Y$3)-MONTH($E24))/$G24,0)*$G24)))&gt;=Y$3,IF(EDATE($E24,MAX(0,ROUNDUP(((YEAR(Y$3)-YEAR($E24))*12+MONTH(Y$3)-MONTH($E24))/$G24,0)*$G24))&lt;Y$3,EDATE($E24,MAX(0,ROUNDUP(((YEAR(Y$3)-YEAR($E24))*12+MONTH(Y$3)-MONTH($E24))/$G24,0)*$G24)+$G24),EDATE($E24,MAX(0,ROUNDUP(((YEAR(Y$3)-YEAR($E24))*12+MONTH(Y$3)-MONTH($E24))/$G24,0)*$G24)))&lt;=IF($F24="",Y$4,MIN(Y$4,$F24))),1,0)))))</f>
        <v>0</v>
      </c>
      <c r="Z24" s="25" t="n">
        <f aca="false">IF(OR($C24="",$C24=0,$E24="",$B24="",$G24=-2),0,$C24*IF($G24=0,IF(IF($F24="",Z$4,MIN(Z$4,$F24))&lt;$E24,0,MAX(0,INT((IF($F24="",Z$4,MIN(Z$4,$F24))-$E24)/7)+1-MAX(0,ROUNDUP((Z$3-$E24)/7,0)))),IF($G24=101,(AND(EOMONTH(Z$3,0)&gt;=MAX(Z$3,$E24),EOMONTH(Z$3,0)&lt;=IF($F24="",Z$4,MIN(Z$4,$F24)))*1+AND(EOMONTH(Z$4,0)&lt;&gt;EOMONTH(Z$3,0),EOMONTH(Z$4,0)&gt;=MAX(Z$3,$E24),EOMONTH(Z$4,0)&lt;=IF($F24="",Z$4,MIN(Z$4,$F24)))*1),IF($G24=102,(AND(WORKDAY(EOMONTH(Z$3,0)+1,-3)&gt;=MAX(Z$3,$E24),WORKDAY(EOMONTH(Z$3,0)+1,-3)&lt;=IF($F24="",Z$4,MIN(Z$4,$F24)))*1+AND(WORKDAY(EOMONTH(Z$4,0)+1,-3)&lt;&gt;WORKDAY(EOMONTH(Z$3,0)+1,-3),WORKDAY(EOMONTH(Z$4,0)+1,-3)&gt;=MAX(Z$3,$E24),WORKDAY(EOMONTH(Z$4,0)+1,-3)&lt;=IF($F24="",Z$4,MIN(Z$4,$F24)))*1),IF(AND(IF(EDATE($E24,MAX(0,ROUNDUP(((YEAR(Z$3)-YEAR($E24))*12+MONTH(Z$3)-MONTH($E24))/$G24,0)*$G24))&lt;Z$3,EDATE($E24,MAX(0,ROUNDUP(((YEAR(Z$3)-YEAR($E24))*12+MONTH(Z$3)-MONTH($E24))/$G24,0)*$G24)+$G24),EDATE($E24,MAX(0,ROUNDUP(((YEAR(Z$3)-YEAR($E24))*12+MONTH(Z$3)-MONTH($E24))/$G24,0)*$G24)))&gt;=Z$3,IF(EDATE($E24,MAX(0,ROUNDUP(((YEAR(Z$3)-YEAR($E24))*12+MONTH(Z$3)-MONTH($E24))/$G24,0)*$G24))&lt;Z$3,EDATE($E24,MAX(0,ROUNDUP(((YEAR(Z$3)-YEAR($E24))*12+MONTH(Z$3)-MONTH($E24))/$G24,0)*$G24)+$G24),EDATE($E24,MAX(0,ROUNDUP(((YEAR(Z$3)-YEAR($E24))*12+MONTH(Z$3)-MONTH($E24))/$G24,0)*$G24)))&lt;=IF($F24="",Z$4,MIN(Z$4,$F24))),1,0)))))</f>
        <v>0</v>
      </c>
      <c r="AA24" s="25" t="n">
        <f aca="false">IF(OR($C24="",$C24=0,$E24="",$B24="",$G24=-2),0,$C24*IF($G24=0,IF(IF($F24="",AA$4,MIN(AA$4,$F24))&lt;$E24,0,MAX(0,INT((IF($F24="",AA$4,MIN(AA$4,$F24))-$E24)/7)+1-MAX(0,ROUNDUP((AA$3-$E24)/7,0)))),IF($G24=101,(AND(EOMONTH(AA$3,0)&gt;=MAX(AA$3,$E24),EOMONTH(AA$3,0)&lt;=IF($F24="",AA$4,MIN(AA$4,$F24)))*1+AND(EOMONTH(AA$4,0)&lt;&gt;EOMONTH(AA$3,0),EOMONTH(AA$4,0)&gt;=MAX(AA$3,$E24),EOMONTH(AA$4,0)&lt;=IF($F24="",AA$4,MIN(AA$4,$F24)))*1),IF($G24=102,(AND(WORKDAY(EOMONTH(AA$3,0)+1,-3)&gt;=MAX(AA$3,$E24),WORKDAY(EOMONTH(AA$3,0)+1,-3)&lt;=IF($F24="",AA$4,MIN(AA$4,$F24)))*1+AND(WORKDAY(EOMONTH(AA$4,0)+1,-3)&lt;&gt;WORKDAY(EOMONTH(AA$3,0)+1,-3),WORKDAY(EOMONTH(AA$4,0)+1,-3)&gt;=MAX(AA$3,$E24),WORKDAY(EOMONTH(AA$4,0)+1,-3)&lt;=IF($F24="",AA$4,MIN(AA$4,$F24)))*1),IF(AND(IF(EDATE($E24,MAX(0,ROUNDUP(((YEAR(AA$3)-YEAR($E24))*12+MONTH(AA$3)-MONTH($E24))/$G24,0)*$G24))&lt;AA$3,EDATE($E24,MAX(0,ROUNDUP(((YEAR(AA$3)-YEAR($E24))*12+MONTH(AA$3)-MONTH($E24))/$G24,0)*$G24)+$G24),EDATE($E24,MAX(0,ROUNDUP(((YEAR(AA$3)-YEAR($E24))*12+MONTH(AA$3)-MONTH($E24))/$G24,0)*$G24)))&gt;=AA$3,IF(EDATE($E24,MAX(0,ROUNDUP(((YEAR(AA$3)-YEAR($E24))*12+MONTH(AA$3)-MONTH($E24))/$G24,0)*$G24))&lt;AA$3,EDATE($E24,MAX(0,ROUNDUP(((YEAR(AA$3)-YEAR($E24))*12+MONTH(AA$3)-MONTH($E24))/$G24,0)*$G24)+$G24),EDATE($E24,MAX(0,ROUNDUP(((YEAR(AA$3)-YEAR($E24))*12+MONTH(AA$3)-MONTH($E24))/$G24,0)*$G24)))&lt;=IF($F24="",AA$4,MIN(AA$4,$F24))),1,0)))))</f>
        <v>0</v>
      </c>
      <c r="AB24" s="25" t="n">
        <f aca="false">IF(OR($C24="",$C24=0,$E24="",$B24="",$G24=-2),0,$C24*IF($G24=0,IF(IF($F24="",AB$4,MIN(AB$4,$F24))&lt;$E24,0,MAX(0,INT((IF($F24="",AB$4,MIN(AB$4,$F24))-$E24)/7)+1-MAX(0,ROUNDUP((AB$3-$E24)/7,0)))),IF($G24=101,(AND(EOMONTH(AB$3,0)&gt;=MAX(AB$3,$E24),EOMONTH(AB$3,0)&lt;=IF($F24="",AB$4,MIN(AB$4,$F24)))*1+AND(EOMONTH(AB$4,0)&lt;&gt;EOMONTH(AB$3,0),EOMONTH(AB$4,0)&gt;=MAX(AB$3,$E24),EOMONTH(AB$4,0)&lt;=IF($F24="",AB$4,MIN(AB$4,$F24)))*1),IF($G24=102,(AND(WORKDAY(EOMONTH(AB$3,0)+1,-3)&gt;=MAX(AB$3,$E24),WORKDAY(EOMONTH(AB$3,0)+1,-3)&lt;=IF($F24="",AB$4,MIN(AB$4,$F24)))*1+AND(WORKDAY(EOMONTH(AB$4,0)+1,-3)&lt;&gt;WORKDAY(EOMONTH(AB$3,0)+1,-3),WORKDAY(EOMONTH(AB$4,0)+1,-3)&gt;=MAX(AB$3,$E24),WORKDAY(EOMONTH(AB$4,0)+1,-3)&lt;=IF($F24="",AB$4,MIN(AB$4,$F24)))*1),IF(AND(IF(EDATE($E24,MAX(0,ROUNDUP(((YEAR(AB$3)-YEAR($E24))*12+MONTH(AB$3)-MONTH($E24))/$G24,0)*$G24))&lt;AB$3,EDATE($E24,MAX(0,ROUNDUP(((YEAR(AB$3)-YEAR($E24))*12+MONTH(AB$3)-MONTH($E24))/$G24,0)*$G24)+$G24),EDATE($E24,MAX(0,ROUNDUP(((YEAR(AB$3)-YEAR($E24))*12+MONTH(AB$3)-MONTH($E24))/$G24,0)*$G24)))&gt;=AB$3,IF(EDATE($E24,MAX(0,ROUNDUP(((YEAR(AB$3)-YEAR($E24))*12+MONTH(AB$3)-MONTH($E24))/$G24,0)*$G24))&lt;AB$3,EDATE($E24,MAX(0,ROUNDUP(((YEAR(AB$3)-YEAR($E24))*12+MONTH(AB$3)-MONTH($E24))/$G24,0)*$G24)+$G24),EDATE($E24,MAX(0,ROUNDUP(((YEAR(AB$3)-YEAR($E24))*12+MONTH(AB$3)-MONTH($E24))/$G24,0)*$G24)))&lt;=IF($F24="",AB$4,MIN(AB$4,$F24))),1,0)))))</f>
        <v>0</v>
      </c>
      <c r="AC24" s="25" t="n">
        <f aca="false">IF(OR($C24="",$C24=0,$E24="",$B24="",$G24=-2),0,$C24*IF($G24=0,IF(IF($F24="",AC$4,MIN(AC$4,$F24))&lt;$E24,0,MAX(0,INT((IF($F24="",AC$4,MIN(AC$4,$F24))-$E24)/7)+1-MAX(0,ROUNDUP((AC$3-$E24)/7,0)))),IF($G24=101,(AND(EOMONTH(AC$3,0)&gt;=MAX(AC$3,$E24),EOMONTH(AC$3,0)&lt;=IF($F24="",AC$4,MIN(AC$4,$F24)))*1+AND(EOMONTH(AC$4,0)&lt;&gt;EOMONTH(AC$3,0),EOMONTH(AC$4,0)&gt;=MAX(AC$3,$E24),EOMONTH(AC$4,0)&lt;=IF($F24="",AC$4,MIN(AC$4,$F24)))*1),IF($G24=102,(AND(WORKDAY(EOMONTH(AC$3,0)+1,-3)&gt;=MAX(AC$3,$E24),WORKDAY(EOMONTH(AC$3,0)+1,-3)&lt;=IF($F24="",AC$4,MIN(AC$4,$F24)))*1+AND(WORKDAY(EOMONTH(AC$4,0)+1,-3)&lt;&gt;WORKDAY(EOMONTH(AC$3,0)+1,-3),WORKDAY(EOMONTH(AC$4,0)+1,-3)&gt;=MAX(AC$3,$E24),WORKDAY(EOMONTH(AC$4,0)+1,-3)&lt;=IF($F24="",AC$4,MIN(AC$4,$F24)))*1),IF(AND(IF(EDATE($E24,MAX(0,ROUNDUP(((YEAR(AC$3)-YEAR($E24))*12+MONTH(AC$3)-MONTH($E24))/$G24,0)*$G24))&lt;AC$3,EDATE($E24,MAX(0,ROUNDUP(((YEAR(AC$3)-YEAR($E24))*12+MONTH(AC$3)-MONTH($E24))/$G24,0)*$G24)+$G24),EDATE($E24,MAX(0,ROUNDUP(((YEAR(AC$3)-YEAR($E24))*12+MONTH(AC$3)-MONTH($E24))/$G24,0)*$G24)))&gt;=AC$3,IF(EDATE($E24,MAX(0,ROUNDUP(((YEAR(AC$3)-YEAR($E24))*12+MONTH(AC$3)-MONTH($E24))/$G24,0)*$G24))&lt;AC$3,EDATE($E24,MAX(0,ROUNDUP(((YEAR(AC$3)-YEAR($E24))*12+MONTH(AC$3)-MONTH($E24))/$G24,0)*$G24)+$G24),EDATE($E24,MAX(0,ROUNDUP(((YEAR(AC$3)-YEAR($E24))*12+MONTH(AC$3)-MONTH($E24))/$G24,0)*$G24)))&lt;=IF($F24="",AC$4,MIN(AC$4,$F24))),1,0)))))</f>
        <v>0</v>
      </c>
      <c r="AD24" s="25" t="n">
        <f aca="false">IF(OR($C24="",$C24=0,$E24="",$B24="",$G24=-2),0,$C24*IF($G24=0,IF(IF($F24="",AD$4,MIN(AD$4,$F24))&lt;$E24,0,MAX(0,INT((IF($F24="",AD$4,MIN(AD$4,$F24))-$E24)/7)+1-MAX(0,ROUNDUP((AD$3-$E24)/7,0)))),IF($G24=101,(AND(EOMONTH(AD$3,0)&gt;=MAX(AD$3,$E24),EOMONTH(AD$3,0)&lt;=IF($F24="",AD$4,MIN(AD$4,$F24)))*1+AND(EOMONTH(AD$4,0)&lt;&gt;EOMONTH(AD$3,0),EOMONTH(AD$4,0)&gt;=MAX(AD$3,$E24),EOMONTH(AD$4,0)&lt;=IF($F24="",AD$4,MIN(AD$4,$F24)))*1),IF($G24=102,(AND(WORKDAY(EOMONTH(AD$3,0)+1,-3)&gt;=MAX(AD$3,$E24),WORKDAY(EOMONTH(AD$3,0)+1,-3)&lt;=IF($F24="",AD$4,MIN(AD$4,$F24)))*1+AND(WORKDAY(EOMONTH(AD$4,0)+1,-3)&lt;&gt;WORKDAY(EOMONTH(AD$3,0)+1,-3),WORKDAY(EOMONTH(AD$4,0)+1,-3)&gt;=MAX(AD$3,$E24),WORKDAY(EOMONTH(AD$4,0)+1,-3)&lt;=IF($F24="",AD$4,MIN(AD$4,$F24)))*1),IF(AND(IF(EDATE($E24,MAX(0,ROUNDUP(((YEAR(AD$3)-YEAR($E24))*12+MONTH(AD$3)-MONTH($E24))/$G24,0)*$G24))&lt;AD$3,EDATE($E24,MAX(0,ROUNDUP(((YEAR(AD$3)-YEAR($E24))*12+MONTH(AD$3)-MONTH($E24))/$G24,0)*$G24)+$G24),EDATE($E24,MAX(0,ROUNDUP(((YEAR(AD$3)-YEAR($E24))*12+MONTH(AD$3)-MONTH($E24))/$G24,0)*$G24)))&gt;=AD$3,IF(EDATE($E24,MAX(0,ROUNDUP(((YEAR(AD$3)-YEAR($E24))*12+MONTH(AD$3)-MONTH($E24))/$G24,0)*$G24))&lt;AD$3,EDATE($E24,MAX(0,ROUNDUP(((YEAR(AD$3)-YEAR($E24))*12+MONTH(AD$3)-MONTH($E24))/$G24,0)*$G24)+$G24),EDATE($E24,MAX(0,ROUNDUP(((YEAR(AD$3)-YEAR($E24))*12+MONTH(AD$3)-MONTH($E24))/$G24,0)*$G24)))&lt;=IF($F24="",AD$4,MIN(AD$4,$F24))),1,0)))))</f>
        <v>0</v>
      </c>
      <c r="AE24" s="25" t="n">
        <f aca="false">IF(OR($C24="",$C24=0,$E24="",$B24="",$G24=-2),0,$C24*IF($G24=0,IF(IF($F24="",AE$4,MIN(AE$4,$F24))&lt;$E24,0,MAX(0,INT((IF($F24="",AE$4,MIN(AE$4,$F24))-$E24)/7)+1-MAX(0,ROUNDUP((AE$3-$E24)/7,0)))),IF($G24=101,(AND(EOMONTH(AE$3,0)&gt;=MAX(AE$3,$E24),EOMONTH(AE$3,0)&lt;=IF($F24="",AE$4,MIN(AE$4,$F24)))*1+AND(EOMONTH(AE$4,0)&lt;&gt;EOMONTH(AE$3,0),EOMONTH(AE$4,0)&gt;=MAX(AE$3,$E24),EOMONTH(AE$4,0)&lt;=IF($F24="",AE$4,MIN(AE$4,$F24)))*1),IF($G24=102,(AND(WORKDAY(EOMONTH(AE$3,0)+1,-3)&gt;=MAX(AE$3,$E24),WORKDAY(EOMONTH(AE$3,0)+1,-3)&lt;=IF($F24="",AE$4,MIN(AE$4,$F24)))*1+AND(WORKDAY(EOMONTH(AE$4,0)+1,-3)&lt;&gt;WORKDAY(EOMONTH(AE$3,0)+1,-3),WORKDAY(EOMONTH(AE$4,0)+1,-3)&gt;=MAX(AE$3,$E24),WORKDAY(EOMONTH(AE$4,0)+1,-3)&lt;=IF($F24="",AE$4,MIN(AE$4,$F24)))*1),IF(AND(IF(EDATE($E24,MAX(0,ROUNDUP(((YEAR(AE$3)-YEAR($E24))*12+MONTH(AE$3)-MONTH($E24))/$G24,0)*$G24))&lt;AE$3,EDATE($E24,MAX(0,ROUNDUP(((YEAR(AE$3)-YEAR($E24))*12+MONTH(AE$3)-MONTH($E24))/$G24,0)*$G24)+$G24),EDATE($E24,MAX(0,ROUNDUP(((YEAR(AE$3)-YEAR($E24))*12+MONTH(AE$3)-MONTH($E24))/$G24,0)*$G24)))&gt;=AE$3,IF(EDATE($E24,MAX(0,ROUNDUP(((YEAR(AE$3)-YEAR($E24))*12+MONTH(AE$3)-MONTH($E24))/$G24,0)*$G24))&lt;AE$3,EDATE($E24,MAX(0,ROUNDUP(((YEAR(AE$3)-YEAR($E24))*12+MONTH(AE$3)-MONTH($E24))/$G24,0)*$G24)+$G24),EDATE($E24,MAX(0,ROUNDUP(((YEAR(AE$3)-YEAR($E24))*12+MONTH(AE$3)-MONTH($E24))/$G24,0)*$G24)))&lt;=IF($F24="",AE$4,MIN(AE$4,$F24))),1,0)))))</f>
        <v>0</v>
      </c>
      <c r="AF24" s="25" t="n">
        <f aca="false">IF(OR($C24="",$C24=0,$E24="",$B24="",$G24=-2),0,$C24*IF($G24=0,IF(IF($F24="",AF$4,MIN(AF$4,$F24))&lt;$E24,0,MAX(0,INT((IF($F24="",AF$4,MIN(AF$4,$F24))-$E24)/7)+1-MAX(0,ROUNDUP((AF$3-$E24)/7,0)))),IF($G24=101,(AND(EOMONTH(AF$3,0)&gt;=MAX(AF$3,$E24),EOMONTH(AF$3,0)&lt;=IF($F24="",AF$4,MIN(AF$4,$F24)))*1+AND(EOMONTH(AF$4,0)&lt;&gt;EOMONTH(AF$3,0),EOMONTH(AF$4,0)&gt;=MAX(AF$3,$E24),EOMONTH(AF$4,0)&lt;=IF($F24="",AF$4,MIN(AF$4,$F24)))*1),IF($G24=102,(AND(WORKDAY(EOMONTH(AF$3,0)+1,-3)&gt;=MAX(AF$3,$E24),WORKDAY(EOMONTH(AF$3,0)+1,-3)&lt;=IF($F24="",AF$4,MIN(AF$4,$F24)))*1+AND(WORKDAY(EOMONTH(AF$4,0)+1,-3)&lt;&gt;WORKDAY(EOMONTH(AF$3,0)+1,-3),WORKDAY(EOMONTH(AF$4,0)+1,-3)&gt;=MAX(AF$3,$E24),WORKDAY(EOMONTH(AF$4,0)+1,-3)&lt;=IF($F24="",AF$4,MIN(AF$4,$F24)))*1),IF(AND(IF(EDATE($E24,MAX(0,ROUNDUP(((YEAR(AF$3)-YEAR($E24))*12+MONTH(AF$3)-MONTH($E24))/$G24,0)*$G24))&lt;AF$3,EDATE($E24,MAX(0,ROUNDUP(((YEAR(AF$3)-YEAR($E24))*12+MONTH(AF$3)-MONTH($E24))/$G24,0)*$G24)+$G24),EDATE($E24,MAX(0,ROUNDUP(((YEAR(AF$3)-YEAR($E24))*12+MONTH(AF$3)-MONTH($E24))/$G24,0)*$G24)))&gt;=AF$3,IF(EDATE($E24,MAX(0,ROUNDUP(((YEAR(AF$3)-YEAR($E24))*12+MONTH(AF$3)-MONTH($E24))/$G24,0)*$G24))&lt;AF$3,EDATE($E24,MAX(0,ROUNDUP(((YEAR(AF$3)-YEAR($E24))*12+MONTH(AF$3)-MONTH($E24))/$G24,0)*$G24)+$G24),EDATE($E24,MAX(0,ROUNDUP(((YEAR(AF$3)-YEAR($E24))*12+MONTH(AF$3)-MONTH($E24))/$G24,0)*$G24)))&lt;=IF($F24="",AF$4,MIN(AF$4,$F24))),1,0)))))</f>
        <v>0</v>
      </c>
    </row>
    <row r="25" customFormat="false" ht="15" hidden="false" customHeight="false" outlineLevel="0" collapsed="false">
      <c r="A25" s="5"/>
      <c r="B25" s="5"/>
      <c r="C25" s="8"/>
      <c r="D25" s="5"/>
      <c r="E25" s="7"/>
      <c r="F25" s="7"/>
      <c r="G25" s="24" t="n">
        <f aca="false">IFERROR(INDEX(Listen!$E$2:$E$8,MATCH(D25,Listen!$D$2:$D$8,0)),-2)</f>
        <v>-2</v>
      </c>
      <c r="H25" s="25" t="n">
        <f aca="false">IF(OR($C25="",$C25=0,$E25="",$B25="",$G25=-2),0,$C25*IF($G25=0,IF(IF($F25="",H$4,MIN(H$4,$F25))&lt;$E25,0,MAX(0,INT((IF($F25="",H$4,MIN(H$4,$F25))-$E25)/7)+1-MAX(0,ROUNDUP((H$3-$E25)/7,0)))),IF($G25=101,(AND(EOMONTH(H$3,0)&gt;=MAX(H$3,$E25),EOMONTH(H$3,0)&lt;=IF($F25="",H$4,MIN(H$4,$F25)))*1+AND(EOMONTH(H$4,0)&lt;&gt;EOMONTH(H$3,0),EOMONTH(H$4,0)&gt;=MAX(H$3,$E25),EOMONTH(H$4,0)&lt;=IF($F25="",H$4,MIN(H$4,$F25)))*1),IF($G25=102,(AND(WORKDAY(EOMONTH(H$3,0)+1,-3)&gt;=MAX(H$3,$E25),WORKDAY(EOMONTH(H$3,0)+1,-3)&lt;=IF($F25="",H$4,MIN(H$4,$F25)))*1+AND(WORKDAY(EOMONTH(H$4,0)+1,-3)&lt;&gt;WORKDAY(EOMONTH(H$3,0)+1,-3),WORKDAY(EOMONTH(H$4,0)+1,-3)&gt;=MAX(H$3,$E25),WORKDAY(EOMONTH(H$4,0)+1,-3)&lt;=IF($F25="",H$4,MIN(H$4,$F25)))*1),IF(AND(IF(EDATE($E25,MAX(0,ROUNDUP(((YEAR(H$3)-YEAR($E25))*12+MONTH(H$3)-MONTH($E25))/$G25,0)*$G25))&lt;H$3,EDATE($E25,MAX(0,ROUNDUP(((YEAR(H$3)-YEAR($E25))*12+MONTH(H$3)-MONTH($E25))/$G25,0)*$G25)+$G25),EDATE($E25,MAX(0,ROUNDUP(((YEAR(H$3)-YEAR($E25))*12+MONTH(H$3)-MONTH($E25))/$G25,0)*$G25)))&gt;=H$3,IF(EDATE($E25,MAX(0,ROUNDUP(((YEAR(H$3)-YEAR($E25))*12+MONTH(H$3)-MONTH($E25))/$G25,0)*$G25))&lt;H$3,EDATE($E25,MAX(0,ROUNDUP(((YEAR(H$3)-YEAR($E25))*12+MONTH(H$3)-MONTH($E25))/$G25,0)*$G25)+$G25),EDATE($E25,MAX(0,ROUNDUP(((YEAR(H$3)-YEAR($E25))*12+MONTH(H$3)-MONTH($E25))/$G25,0)*$G25)))&lt;=IF($F25="",H$4,MIN(H$4,$F25))),1,0)))))</f>
        <v>0</v>
      </c>
      <c r="I25" s="25" t="n">
        <f aca="false">IF(OR($C25="",$C25=0,$E25="",$B25="",$G25=-2),0,$C25*IF($G25=0,IF(IF($F25="",I$4,MIN(I$4,$F25))&lt;$E25,0,MAX(0,INT((IF($F25="",I$4,MIN(I$4,$F25))-$E25)/7)+1-MAX(0,ROUNDUP((I$3-$E25)/7,0)))),IF($G25=101,(AND(EOMONTH(I$3,0)&gt;=MAX(I$3,$E25),EOMONTH(I$3,0)&lt;=IF($F25="",I$4,MIN(I$4,$F25)))*1+AND(EOMONTH(I$4,0)&lt;&gt;EOMONTH(I$3,0),EOMONTH(I$4,0)&gt;=MAX(I$3,$E25),EOMONTH(I$4,0)&lt;=IF($F25="",I$4,MIN(I$4,$F25)))*1),IF($G25=102,(AND(WORKDAY(EOMONTH(I$3,0)+1,-3)&gt;=MAX(I$3,$E25),WORKDAY(EOMONTH(I$3,0)+1,-3)&lt;=IF($F25="",I$4,MIN(I$4,$F25)))*1+AND(WORKDAY(EOMONTH(I$4,0)+1,-3)&lt;&gt;WORKDAY(EOMONTH(I$3,0)+1,-3),WORKDAY(EOMONTH(I$4,0)+1,-3)&gt;=MAX(I$3,$E25),WORKDAY(EOMONTH(I$4,0)+1,-3)&lt;=IF($F25="",I$4,MIN(I$4,$F25)))*1),IF(AND(IF(EDATE($E25,MAX(0,ROUNDUP(((YEAR(I$3)-YEAR($E25))*12+MONTH(I$3)-MONTH($E25))/$G25,0)*$G25))&lt;I$3,EDATE($E25,MAX(0,ROUNDUP(((YEAR(I$3)-YEAR($E25))*12+MONTH(I$3)-MONTH($E25))/$G25,0)*$G25)+$G25),EDATE($E25,MAX(0,ROUNDUP(((YEAR(I$3)-YEAR($E25))*12+MONTH(I$3)-MONTH($E25))/$G25,0)*$G25)))&gt;=I$3,IF(EDATE($E25,MAX(0,ROUNDUP(((YEAR(I$3)-YEAR($E25))*12+MONTH(I$3)-MONTH($E25))/$G25,0)*$G25))&lt;I$3,EDATE($E25,MAX(0,ROUNDUP(((YEAR(I$3)-YEAR($E25))*12+MONTH(I$3)-MONTH($E25))/$G25,0)*$G25)+$G25),EDATE($E25,MAX(0,ROUNDUP(((YEAR(I$3)-YEAR($E25))*12+MONTH(I$3)-MONTH($E25))/$G25,0)*$G25)))&lt;=IF($F25="",I$4,MIN(I$4,$F25))),1,0)))))</f>
        <v>0</v>
      </c>
      <c r="J25" s="25" t="n">
        <f aca="false">IF(OR($C25="",$C25=0,$E25="",$B25="",$G25=-2),0,$C25*IF($G25=0,IF(IF($F25="",J$4,MIN(J$4,$F25))&lt;$E25,0,MAX(0,INT((IF($F25="",J$4,MIN(J$4,$F25))-$E25)/7)+1-MAX(0,ROUNDUP((J$3-$E25)/7,0)))),IF($G25=101,(AND(EOMONTH(J$3,0)&gt;=MAX(J$3,$E25),EOMONTH(J$3,0)&lt;=IF($F25="",J$4,MIN(J$4,$F25)))*1+AND(EOMONTH(J$4,0)&lt;&gt;EOMONTH(J$3,0),EOMONTH(J$4,0)&gt;=MAX(J$3,$E25),EOMONTH(J$4,0)&lt;=IF($F25="",J$4,MIN(J$4,$F25)))*1),IF($G25=102,(AND(WORKDAY(EOMONTH(J$3,0)+1,-3)&gt;=MAX(J$3,$E25),WORKDAY(EOMONTH(J$3,0)+1,-3)&lt;=IF($F25="",J$4,MIN(J$4,$F25)))*1+AND(WORKDAY(EOMONTH(J$4,0)+1,-3)&lt;&gt;WORKDAY(EOMONTH(J$3,0)+1,-3),WORKDAY(EOMONTH(J$4,0)+1,-3)&gt;=MAX(J$3,$E25),WORKDAY(EOMONTH(J$4,0)+1,-3)&lt;=IF($F25="",J$4,MIN(J$4,$F25)))*1),IF(AND(IF(EDATE($E25,MAX(0,ROUNDUP(((YEAR(J$3)-YEAR($E25))*12+MONTH(J$3)-MONTH($E25))/$G25,0)*$G25))&lt;J$3,EDATE($E25,MAX(0,ROUNDUP(((YEAR(J$3)-YEAR($E25))*12+MONTH(J$3)-MONTH($E25))/$G25,0)*$G25)+$G25),EDATE($E25,MAX(0,ROUNDUP(((YEAR(J$3)-YEAR($E25))*12+MONTH(J$3)-MONTH($E25))/$G25,0)*$G25)))&gt;=J$3,IF(EDATE($E25,MAX(0,ROUNDUP(((YEAR(J$3)-YEAR($E25))*12+MONTH(J$3)-MONTH($E25))/$G25,0)*$G25))&lt;J$3,EDATE($E25,MAX(0,ROUNDUP(((YEAR(J$3)-YEAR($E25))*12+MONTH(J$3)-MONTH($E25))/$G25,0)*$G25)+$G25),EDATE($E25,MAX(0,ROUNDUP(((YEAR(J$3)-YEAR($E25))*12+MONTH(J$3)-MONTH($E25))/$G25,0)*$G25)))&lt;=IF($F25="",J$4,MIN(J$4,$F25))),1,0)))))</f>
        <v>0</v>
      </c>
      <c r="K25" s="25" t="n">
        <f aca="false">IF(OR($C25="",$C25=0,$E25="",$B25="",$G25=-2),0,$C25*IF($G25=0,IF(IF($F25="",K$4,MIN(K$4,$F25))&lt;$E25,0,MAX(0,INT((IF($F25="",K$4,MIN(K$4,$F25))-$E25)/7)+1-MAX(0,ROUNDUP((K$3-$E25)/7,0)))),IF($G25=101,(AND(EOMONTH(K$3,0)&gt;=MAX(K$3,$E25),EOMONTH(K$3,0)&lt;=IF($F25="",K$4,MIN(K$4,$F25)))*1+AND(EOMONTH(K$4,0)&lt;&gt;EOMONTH(K$3,0),EOMONTH(K$4,0)&gt;=MAX(K$3,$E25),EOMONTH(K$4,0)&lt;=IF($F25="",K$4,MIN(K$4,$F25)))*1),IF($G25=102,(AND(WORKDAY(EOMONTH(K$3,0)+1,-3)&gt;=MAX(K$3,$E25),WORKDAY(EOMONTH(K$3,0)+1,-3)&lt;=IF($F25="",K$4,MIN(K$4,$F25)))*1+AND(WORKDAY(EOMONTH(K$4,0)+1,-3)&lt;&gt;WORKDAY(EOMONTH(K$3,0)+1,-3),WORKDAY(EOMONTH(K$4,0)+1,-3)&gt;=MAX(K$3,$E25),WORKDAY(EOMONTH(K$4,0)+1,-3)&lt;=IF($F25="",K$4,MIN(K$4,$F25)))*1),IF(AND(IF(EDATE($E25,MAX(0,ROUNDUP(((YEAR(K$3)-YEAR($E25))*12+MONTH(K$3)-MONTH($E25))/$G25,0)*$G25))&lt;K$3,EDATE($E25,MAX(0,ROUNDUP(((YEAR(K$3)-YEAR($E25))*12+MONTH(K$3)-MONTH($E25))/$G25,0)*$G25)+$G25),EDATE($E25,MAX(0,ROUNDUP(((YEAR(K$3)-YEAR($E25))*12+MONTH(K$3)-MONTH($E25))/$G25,0)*$G25)))&gt;=K$3,IF(EDATE($E25,MAX(0,ROUNDUP(((YEAR(K$3)-YEAR($E25))*12+MONTH(K$3)-MONTH($E25))/$G25,0)*$G25))&lt;K$3,EDATE($E25,MAX(0,ROUNDUP(((YEAR(K$3)-YEAR($E25))*12+MONTH(K$3)-MONTH($E25))/$G25,0)*$G25)+$G25),EDATE($E25,MAX(0,ROUNDUP(((YEAR(K$3)-YEAR($E25))*12+MONTH(K$3)-MONTH($E25))/$G25,0)*$G25)))&lt;=IF($F25="",K$4,MIN(K$4,$F25))),1,0)))))</f>
        <v>0</v>
      </c>
      <c r="L25" s="25" t="n">
        <f aca="false">IF(OR($C25="",$C25=0,$E25="",$B25="",$G25=-2),0,$C25*IF($G25=0,IF(IF($F25="",L$4,MIN(L$4,$F25))&lt;$E25,0,MAX(0,INT((IF($F25="",L$4,MIN(L$4,$F25))-$E25)/7)+1-MAX(0,ROUNDUP((L$3-$E25)/7,0)))),IF($G25=101,(AND(EOMONTH(L$3,0)&gt;=MAX(L$3,$E25),EOMONTH(L$3,0)&lt;=IF($F25="",L$4,MIN(L$4,$F25)))*1+AND(EOMONTH(L$4,0)&lt;&gt;EOMONTH(L$3,0),EOMONTH(L$4,0)&gt;=MAX(L$3,$E25),EOMONTH(L$4,0)&lt;=IF($F25="",L$4,MIN(L$4,$F25)))*1),IF($G25=102,(AND(WORKDAY(EOMONTH(L$3,0)+1,-3)&gt;=MAX(L$3,$E25),WORKDAY(EOMONTH(L$3,0)+1,-3)&lt;=IF($F25="",L$4,MIN(L$4,$F25)))*1+AND(WORKDAY(EOMONTH(L$4,0)+1,-3)&lt;&gt;WORKDAY(EOMONTH(L$3,0)+1,-3),WORKDAY(EOMONTH(L$4,0)+1,-3)&gt;=MAX(L$3,$E25),WORKDAY(EOMONTH(L$4,0)+1,-3)&lt;=IF($F25="",L$4,MIN(L$4,$F25)))*1),IF(AND(IF(EDATE($E25,MAX(0,ROUNDUP(((YEAR(L$3)-YEAR($E25))*12+MONTH(L$3)-MONTH($E25))/$G25,0)*$G25))&lt;L$3,EDATE($E25,MAX(0,ROUNDUP(((YEAR(L$3)-YEAR($E25))*12+MONTH(L$3)-MONTH($E25))/$G25,0)*$G25)+$G25),EDATE($E25,MAX(0,ROUNDUP(((YEAR(L$3)-YEAR($E25))*12+MONTH(L$3)-MONTH($E25))/$G25,0)*$G25)))&gt;=L$3,IF(EDATE($E25,MAX(0,ROUNDUP(((YEAR(L$3)-YEAR($E25))*12+MONTH(L$3)-MONTH($E25))/$G25,0)*$G25))&lt;L$3,EDATE($E25,MAX(0,ROUNDUP(((YEAR(L$3)-YEAR($E25))*12+MONTH(L$3)-MONTH($E25))/$G25,0)*$G25)+$G25),EDATE($E25,MAX(0,ROUNDUP(((YEAR(L$3)-YEAR($E25))*12+MONTH(L$3)-MONTH($E25))/$G25,0)*$G25)))&lt;=IF($F25="",L$4,MIN(L$4,$F25))),1,0)))))</f>
        <v>0</v>
      </c>
      <c r="M25" s="25" t="n">
        <f aca="false">IF(OR($C25="",$C25=0,$E25="",$B25="",$G25=-2),0,$C25*IF($G25=0,IF(IF($F25="",M$4,MIN(M$4,$F25))&lt;$E25,0,MAX(0,INT((IF($F25="",M$4,MIN(M$4,$F25))-$E25)/7)+1-MAX(0,ROUNDUP((M$3-$E25)/7,0)))),IF($G25=101,(AND(EOMONTH(M$3,0)&gt;=MAX(M$3,$E25),EOMONTH(M$3,0)&lt;=IF($F25="",M$4,MIN(M$4,$F25)))*1+AND(EOMONTH(M$4,0)&lt;&gt;EOMONTH(M$3,0),EOMONTH(M$4,0)&gt;=MAX(M$3,$E25),EOMONTH(M$4,0)&lt;=IF($F25="",M$4,MIN(M$4,$F25)))*1),IF($G25=102,(AND(WORKDAY(EOMONTH(M$3,0)+1,-3)&gt;=MAX(M$3,$E25),WORKDAY(EOMONTH(M$3,0)+1,-3)&lt;=IF($F25="",M$4,MIN(M$4,$F25)))*1+AND(WORKDAY(EOMONTH(M$4,0)+1,-3)&lt;&gt;WORKDAY(EOMONTH(M$3,0)+1,-3),WORKDAY(EOMONTH(M$4,0)+1,-3)&gt;=MAX(M$3,$E25),WORKDAY(EOMONTH(M$4,0)+1,-3)&lt;=IF($F25="",M$4,MIN(M$4,$F25)))*1),IF(AND(IF(EDATE($E25,MAX(0,ROUNDUP(((YEAR(M$3)-YEAR($E25))*12+MONTH(M$3)-MONTH($E25))/$G25,0)*$G25))&lt;M$3,EDATE($E25,MAX(0,ROUNDUP(((YEAR(M$3)-YEAR($E25))*12+MONTH(M$3)-MONTH($E25))/$G25,0)*$G25)+$G25),EDATE($E25,MAX(0,ROUNDUP(((YEAR(M$3)-YEAR($E25))*12+MONTH(M$3)-MONTH($E25))/$G25,0)*$G25)))&gt;=M$3,IF(EDATE($E25,MAX(0,ROUNDUP(((YEAR(M$3)-YEAR($E25))*12+MONTH(M$3)-MONTH($E25))/$G25,0)*$G25))&lt;M$3,EDATE($E25,MAX(0,ROUNDUP(((YEAR(M$3)-YEAR($E25))*12+MONTH(M$3)-MONTH($E25))/$G25,0)*$G25)+$G25),EDATE($E25,MAX(0,ROUNDUP(((YEAR(M$3)-YEAR($E25))*12+MONTH(M$3)-MONTH($E25))/$G25,0)*$G25)))&lt;=IF($F25="",M$4,MIN(M$4,$F25))),1,0)))))</f>
        <v>0</v>
      </c>
      <c r="N25" s="25" t="n">
        <f aca="false">IF(OR($C25="",$C25=0,$E25="",$B25="",$G25=-2),0,$C25*IF($G25=0,IF(IF($F25="",N$4,MIN(N$4,$F25))&lt;$E25,0,MAX(0,INT((IF($F25="",N$4,MIN(N$4,$F25))-$E25)/7)+1-MAX(0,ROUNDUP((N$3-$E25)/7,0)))),IF($G25=101,(AND(EOMONTH(N$3,0)&gt;=MAX(N$3,$E25),EOMONTH(N$3,0)&lt;=IF($F25="",N$4,MIN(N$4,$F25)))*1+AND(EOMONTH(N$4,0)&lt;&gt;EOMONTH(N$3,0),EOMONTH(N$4,0)&gt;=MAX(N$3,$E25),EOMONTH(N$4,0)&lt;=IF($F25="",N$4,MIN(N$4,$F25)))*1),IF($G25=102,(AND(WORKDAY(EOMONTH(N$3,0)+1,-3)&gt;=MAX(N$3,$E25),WORKDAY(EOMONTH(N$3,0)+1,-3)&lt;=IF($F25="",N$4,MIN(N$4,$F25)))*1+AND(WORKDAY(EOMONTH(N$4,0)+1,-3)&lt;&gt;WORKDAY(EOMONTH(N$3,0)+1,-3),WORKDAY(EOMONTH(N$4,0)+1,-3)&gt;=MAX(N$3,$E25),WORKDAY(EOMONTH(N$4,0)+1,-3)&lt;=IF($F25="",N$4,MIN(N$4,$F25)))*1),IF(AND(IF(EDATE($E25,MAX(0,ROUNDUP(((YEAR(N$3)-YEAR($E25))*12+MONTH(N$3)-MONTH($E25))/$G25,0)*$G25))&lt;N$3,EDATE($E25,MAX(0,ROUNDUP(((YEAR(N$3)-YEAR($E25))*12+MONTH(N$3)-MONTH($E25))/$G25,0)*$G25)+$G25),EDATE($E25,MAX(0,ROUNDUP(((YEAR(N$3)-YEAR($E25))*12+MONTH(N$3)-MONTH($E25))/$G25,0)*$G25)))&gt;=N$3,IF(EDATE($E25,MAX(0,ROUNDUP(((YEAR(N$3)-YEAR($E25))*12+MONTH(N$3)-MONTH($E25))/$G25,0)*$G25))&lt;N$3,EDATE($E25,MAX(0,ROUNDUP(((YEAR(N$3)-YEAR($E25))*12+MONTH(N$3)-MONTH($E25))/$G25,0)*$G25)+$G25),EDATE($E25,MAX(0,ROUNDUP(((YEAR(N$3)-YEAR($E25))*12+MONTH(N$3)-MONTH($E25))/$G25,0)*$G25)))&lt;=IF($F25="",N$4,MIN(N$4,$F25))),1,0)))))</f>
        <v>0</v>
      </c>
      <c r="O25" s="25" t="n">
        <f aca="false">IF(OR($C25="",$C25=0,$E25="",$B25="",$G25=-2),0,$C25*IF($G25=0,IF(IF($F25="",O$4,MIN(O$4,$F25))&lt;$E25,0,MAX(0,INT((IF($F25="",O$4,MIN(O$4,$F25))-$E25)/7)+1-MAX(0,ROUNDUP((O$3-$E25)/7,0)))),IF($G25=101,(AND(EOMONTH(O$3,0)&gt;=MAX(O$3,$E25),EOMONTH(O$3,0)&lt;=IF($F25="",O$4,MIN(O$4,$F25)))*1+AND(EOMONTH(O$4,0)&lt;&gt;EOMONTH(O$3,0),EOMONTH(O$4,0)&gt;=MAX(O$3,$E25),EOMONTH(O$4,0)&lt;=IF($F25="",O$4,MIN(O$4,$F25)))*1),IF($G25=102,(AND(WORKDAY(EOMONTH(O$3,0)+1,-3)&gt;=MAX(O$3,$E25),WORKDAY(EOMONTH(O$3,0)+1,-3)&lt;=IF($F25="",O$4,MIN(O$4,$F25)))*1+AND(WORKDAY(EOMONTH(O$4,0)+1,-3)&lt;&gt;WORKDAY(EOMONTH(O$3,0)+1,-3),WORKDAY(EOMONTH(O$4,0)+1,-3)&gt;=MAX(O$3,$E25),WORKDAY(EOMONTH(O$4,0)+1,-3)&lt;=IF($F25="",O$4,MIN(O$4,$F25)))*1),IF(AND(IF(EDATE($E25,MAX(0,ROUNDUP(((YEAR(O$3)-YEAR($E25))*12+MONTH(O$3)-MONTH($E25))/$G25,0)*$G25))&lt;O$3,EDATE($E25,MAX(0,ROUNDUP(((YEAR(O$3)-YEAR($E25))*12+MONTH(O$3)-MONTH($E25))/$G25,0)*$G25)+$G25),EDATE($E25,MAX(0,ROUNDUP(((YEAR(O$3)-YEAR($E25))*12+MONTH(O$3)-MONTH($E25))/$G25,0)*$G25)))&gt;=O$3,IF(EDATE($E25,MAX(0,ROUNDUP(((YEAR(O$3)-YEAR($E25))*12+MONTH(O$3)-MONTH($E25))/$G25,0)*$G25))&lt;O$3,EDATE($E25,MAX(0,ROUNDUP(((YEAR(O$3)-YEAR($E25))*12+MONTH(O$3)-MONTH($E25))/$G25,0)*$G25)+$G25),EDATE($E25,MAX(0,ROUNDUP(((YEAR(O$3)-YEAR($E25))*12+MONTH(O$3)-MONTH($E25))/$G25,0)*$G25)))&lt;=IF($F25="",O$4,MIN(O$4,$F25))),1,0)))))</f>
        <v>0</v>
      </c>
      <c r="P25" s="25" t="n">
        <f aca="false">IF(OR($C25="",$C25=0,$E25="",$B25="",$G25=-2),0,$C25*IF($G25=0,IF(IF($F25="",P$4,MIN(P$4,$F25))&lt;$E25,0,MAX(0,INT((IF($F25="",P$4,MIN(P$4,$F25))-$E25)/7)+1-MAX(0,ROUNDUP((P$3-$E25)/7,0)))),IF($G25=101,(AND(EOMONTH(P$3,0)&gt;=MAX(P$3,$E25),EOMONTH(P$3,0)&lt;=IF($F25="",P$4,MIN(P$4,$F25)))*1+AND(EOMONTH(P$4,0)&lt;&gt;EOMONTH(P$3,0),EOMONTH(P$4,0)&gt;=MAX(P$3,$E25),EOMONTH(P$4,0)&lt;=IF($F25="",P$4,MIN(P$4,$F25)))*1),IF($G25=102,(AND(WORKDAY(EOMONTH(P$3,0)+1,-3)&gt;=MAX(P$3,$E25),WORKDAY(EOMONTH(P$3,0)+1,-3)&lt;=IF($F25="",P$4,MIN(P$4,$F25)))*1+AND(WORKDAY(EOMONTH(P$4,0)+1,-3)&lt;&gt;WORKDAY(EOMONTH(P$3,0)+1,-3),WORKDAY(EOMONTH(P$4,0)+1,-3)&gt;=MAX(P$3,$E25),WORKDAY(EOMONTH(P$4,0)+1,-3)&lt;=IF($F25="",P$4,MIN(P$4,$F25)))*1),IF(AND(IF(EDATE($E25,MAX(0,ROUNDUP(((YEAR(P$3)-YEAR($E25))*12+MONTH(P$3)-MONTH($E25))/$G25,0)*$G25))&lt;P$3,EDATE($E25,MAX(0,ROUNDUP(((YEAR(P$3)-YEAR($E25))*12+MONTH(P$3)-MONTH($E25))/$G25,0)*$G25)+$G25),EDATE($E25,MAX(0,ROUNDUP(((YEAR(P$3)-YEAR($E25))*12+MONTH(P$3)-MONTH($E25))/$G25,0)*$G25)))&gt;=P$3,IF(EDATE($E25,MAX(0,ROUNDUP(((YEAR(P$3)-YEAR($E25))*12+MONTH(P$3)-MONTH($E25))/$G25,0)*$G25))&lt;P$3,EDATE($E25,MAX(0,ROUNDUP(((YEAR(P$3)-YEAR($E25))*12+MONTH(P$3)-MONTH($E25))/$G25,0)*$G25)+$G25),EDATE($E25,MAX(0,ROUNDUP(((YEAR(P$3)-YEAR($E25))*12+MONTH(P$3)-MONTH($E25))/$G25,0)*$G25)))&lt;=IF($F25="",P$4,MIN(P$4,$F25))),1,0)))))</f>
        <v>0</v>
      </c>
      <c r="Q25" s="25" t="n">
        <f aca="false">IF(OR($C25="",$C25=0,$E25="",$B25="",$G25=-2),0,$C25*IF($G25=0,IF(IF($F25="",Q$4,MIN(Q$4,$F25))&lt;$E25,0,MAX(0,INT((IF($F25="",Q$4,MIN(Q$4,$F25))-$E25)/7)+1-MAX(0,ROUNDUP((Q$3-$E25)/7,0)))),IF($G25=101,(AND(EOMONTH(Q$3,0)&gt;=MAX(Q$3,$E25),EOMONTH(Q$3,0)&lt;=IF($F25="",Q$4,MIN(Q$4,$F25)))*1+AND(EOMONTH(Q$4,0)&lt;&gt;EOMONTH(Q$3,0),EOMONTH(Q$4,0)&gt;=MAX(Q$3,$E25),EOMONTH(Q$4,0)&lt;=IF($F25="",Q$4,MIN(Q$4,$F25)))*1),IF($G25=102,(AND(WORKDAY(EOMONTH(Q$3,0)+1,-3)&gt;=MAX(Q$3,$E25),WORKDAY(EOMONTH(Q$3,0)+1,-3)&lt;=IF($F25="",Q$4,MIN(Q$4,$F25)))*1+AND(WORKDAY(EOMONTH(Q$4,0)+1,-3)&lt;&gt;WORKDAY(EOMONTH(Q$3,0)+1,-3),WORKDAY(EOMONTH(Q$4,0)+1,-3)&gt;=MAX(Q$3,$E25),WORKDAY(EOMONTH(Q$4,0)+1,-3)&lt;=IF($F25="",Q$4,MIN(Q$4,$F25)))*1),IF(AND(IF(EDATE($E25,MAX(0,ROUNDUP(((YEAR(Q$3)-YEAR($E25))*12+MONTH(Q$3)-MONTH($E25))/$G25,0)*$G25))&lt;Q$3,EDATE($E25,MAX(0,ROUNDUP(((YEAR(Q$3)-YEAR($E25))*12+MONTH(Q$3)-MONTH($E25))/$G25,0)*$G25)+$G25),EDATE($E25,MAX(0,ROUNDUP(((YEAR(Q$3)-YEAR($E25))*12+MONTH(Q$3)-MONTH($E25))/$G25,0)*$G25)))&gt;=Q$3,IF(EDATE($E25,MAX(0,ROUNDUP(((YEAR(Q$3)-YEAR($E25))*12+MONTH(Q$3)-MONTH($E25))/$G25,0)*$G25))&lt;Q$3,EDATE($E25,MAX(0,ROUNDUP(((YEAR(Q$3)-YEAR($E25))*12+MONTH(Q$3)-MONTH($E25))/$G25,0)*$G25)+$G25),EDATE($E25,MAX(0,ROUNDUP(((YEAR(Q$3)-YEAR($E25))*12+MONTH(Q$3)-MONTH($E25))/$G25,0)*$G25)))&lt;=IF($F25="",Q$4,MIN(Q$4,$F25))),1,0)))))</f>
        <v>0</v>
      </c>
      <c r="R25" s="25" t="n">
        <f aca="false">IF(OR($C25="",$C25=0,$E25="",$B25="",$G25=-2),0,$C25*IF($G25=0,IF(IF($F25="",R$4,MIN(R$4,$F25))&lt;$E25,0,MAX(0,INT((IF($F25="",R$4,MIN(R$4,$F25))-$E25)/7)+1-MAX(0,ROUNDUP((R$3-$E25)/7,0)))),IF($G25=101,(AND(EOMONTH(R$3,0)&gt;=MAX(R$3,$E25),EOMONTH(R$3,0)&lt;=IF($F25="",R$4,MIN(R$4,$F25)))*1+AND(EOMONTH(R$4,0)&lt;&gt;EOMONTH(R$3,0),EOMONTH(R$4,0)&gt;=MAX(R$3,$E25),EOMONTH(R$4,0)&lt;=IF($F25="",R$4,MIN(R$4,$F25)))*1),IF($G25=102,(AND(WORKDAY(EOMONTH(R$3,0)+1,-3)&gt;=MAX(R$3,$E25),WORKDAY(EOMONTH(R$3,0)+1,-3)&lt;=IF($F25="",R$4,MIN(R$4,$F25)))*1+AND(WORKDAY(EOMONTH(R$4,0)+1,-3)&lt;&gt;WORKDAY(EOMONTH(R$3,0)+1,-3),WORKDAY(EOMONTH(R$4,0)+1,-3)&gt;=MAX(R$3,$E25),WORKDAY(EOMONTH(R$4,0)+1,-3)&lt;=IF($F25="",R$4,MIN(R$4,$F25)))*1),IF(AND(IF(EDATE($E25,MAX(0,ROUNDUP(((YEAR(R$3)-YEAR($E25))*12+MONTH(R$3)-MONTH($E25))/$G25,0)*$G25))&lt;R$3,EDATE($E25,MAX(0,ROUNDUP(((YEAR(R$3)-YEAR($E25))*12+MONTH(R$3)-MONTH($E25))/$G25,0)*$G25)+$G25),EDATE($E25,MAX(0,ROUNDUP(((YEAR(R$3)-YEAR($E25))*12+MONTH(R$3)-MONTH($E25))/$G25,0)*$G25)))&gt;=R$3,IF(EDATE($E25,MAX(0,ROUNDUP(((YEAR(R$3)-YEAR($E25))*12+MONTH(R$3)-MONTH($E25))/$G25,0)*$G25))&lt;R$3,EDATE($E25,MAX(0,ROUNDUP(((YEAR(R$3)-YEAR($E25))*12+MONTH(R$3)-MONTH($E25))/$G25,0)*$G25)+$G25),EDATE($E25,MAX(0,ROUNDUP(((YEAR(R$3)-YEAR($E25))*12+MONTH(R$3)-MONTH($E25))/$G25,0)*$G25)))&lt;=IF($F25="",R$4,MIN(R$4,$F25))),1,0)))))</f>
        <v>0</v>
      </c>
      <c r="S25" s="25" t="n">
        <f aca="false">IF(OR($C25="",$C25=0,$E25="",$B25="",$G25=-2),0,$C25*IF($G25=0,IF(IF($F25="",S$4,MIN(S$4,$F25))&lt;$E25,0,MAX(0,INT((IF($F25="",S$4,MIN(S$4,$F25))-$E25)/7)+1-MAX(0,ROUNDUP((S$3-$E25)/7,0)))),IF($G25=101,(AND(EOMONTH(S$3,0)&gt;=MAX(S$3,$E25),EOMONTH(S$3,0)&lt;=IF($F25="",S$4,MIN(S$4,$F25)))*1+AND(EOMONTH(S$4,0)&lt;&gt;EOMONTH(S$3,0),EOMONTH(S$4,0)&gt;=MAX(S$3,$E25),EOMONTH(S$4,0)&lt;=IF($F25="",S$4,MIN(S$4,$F25)))*1),IF($G25=102,(AND(WORKDAY(EOMONTH(S$3,0)+1,-3)&gt;=MAX(S$3,$E25),WORKDAY(EOMONTH(S$3,0)+1,-3)&lt;=IF($F25="",S$4,MIN(S$4,$F25)))*1+AND(WORKDAY(EOMONTH(S$4,0)+1,-3)&lt;&gt;WORKDAY(EOMONTH(S$3,0)+1,-3),WORKDAY(EOMONTH(S$4,0)+1,-3)&gt;=MAX(S$3,$E25),WORKDAY(EOMONTH(S$4,0)+1,-3)&lt;=IF($F25="",S$4,MIN(S$4,$F25)))*1),IF(AND(IF(EDATE($E25,MAX(0,ROUNDUP(((YEAR(S$3)-YEAR($E25))*12+MONTH(S$3)-MONTH($E25))/$G25,0)*$G25))&lt;S$3,EDATE($E25,MAX(0,ROUNDUP(((YEAR(S$3)-YEAR($E25))*12+MONTH(S$3)-MONTH($E25))/$G25,0)*$G25)+$G25),EDATE($E25,MAX(0,ROUNDUP(((YEAR(S$3)-YEAR($E25))*12+MONTH(S$3)-MONTH($E25))/$G25,0)*$G25)))&gt;=S$3,IF(EDATE($E25,MAX(0,ROUNDUP(((YEAR(S$3)-YEAR($E25))*12+MONTH(S$3)-MONTH($E25))/$G25,0)*$G25))&lt;S$3,EDATE($E25,MAX(0,ROUNDUP(((YEAR(S$3)-YEAR($E25))*12+MONTH(S$3)-MONTH($E25))/$G25,0)*$G25)+$G25),EDATE($E25,MAX(0,ROUNDUP(((YEAR(S$3)-YEAR($E25))*12+MONTH(S$3)-MONTH($E25))/$G25,0)*$G25)))&lt;=IF($F25="",S$4,MIN(S$4,$F25))),1,0)))))</f>
        <v>0</v>
      </c>
      <c r="T25" s="25" t="n">
        <f aca="false">IF(OR($C25="",$C25=0,$E25="",$B25="",$G25=-2),0,$C25*IF($G25=0,IF(IF($F25="",T$4,MIN(T$4,$F25))&lt;$E25,0,MAX(0,INT((IF($F25="",T$4,MIN(T$4,$F25))-$E25)/7)+1-MAX(0,ROUNDUP((T$3-$E25)/7,0)))),IF($G25=101,(AND(EOMONTH(T$3,0)&gt;=MAX(T$3,$E25),EOMONTH(T$3,0)&lt;=IF($F25="",T$4,MIN(T$4,$F25)))*1+AND(EOMONTH(T$4,0)&lt;&gt;EOMONTH(T$3,0),EOMONTH(T$4,0)&gt;=MAX(T$3,$E25),EOMONTH(T$4,0)&lt;=IF($F25="",T$4,MIN(T$4,$F25)))*1),IF($G25=102,(AND(WORKDAY(EOMONTH(T$3,0)+1,-3)&gt;=MAX(T$3,$E25),WORKDAY(EOMONTH(T$3,0)+1,-3)&lt;=IF($F25="",T$4,MIN(T$4,$F25)))*1+AND(WORKDAY(EOMONTH(T$4,0)+1,-3)&lt;&gt;WORKDAY(EOMONTH(T$3,0)+1,-3),WORKDAY(EOMONTH(T$4,0)+1,-3)&gt;=MAX(T$3,$E25),WORKDAY(EOMONTH(T$4,0)+1,-3)&lt;=IF($F25="",T$4,MIN(T$4,$F25)))*1),IF(AND(IF(EDATE($E25,MAX(0,ROUNDUP(((YEAR(T$3)-YEAR($E25))*12+MONTH(T$3)-MONTH($E25))/$G25,0)*$G25))&lt;T$3,EDATE($E25,MAX(0,ROUNDUP(((YEAR(T$3)-YEAR($E25))*12+MONTH(T$3)-MONTH($E25))/$G25,0)*$G25)+$G25),EDATE($E25,MAX(0,ROUNDUP(((YEAR(T$3)-YEAR($E25))*12+MONTH(T$3)-MONTH($E25))/$G25,0)*$G25)))&gt;=T$3,IF(EDATE($E25,MAX(0,ROUNDUP(((YEAR(T$3)-YEAR($E25))*12+MONTH(T$3)-MONTH($E25))/$G25,0)*$G25))&lt;T$3,EDATE($E25,MAX(0,ROUNDUP(((YEAR(T$3)-YEAR($E25))*12+MONTH(T$3)-MONTH($E25))/$G25,0)*$G25)+$G25),EDATE($E25,MAX(0,ROUNDUP(((YEAR(T$3)-YEAR($E25))*12+MONTH(T$3)-MONTH($E25))/$G25,0)*$G25)))&lt;=IF($F25="",T$4,MIN(T$4,$F25))),1,0)))))</f>
        <v>0</v>
      </c>
      <c r="U25" s="25" t="n">
        <f aca="false">IF(OR($C25="",$C25=0,$E25="",$B25="",$G25=-2),0,$C25*IF($G25=0,IF(IF($F25="",U$4,MIN(U$4,$F25))&lt;$E25,0,MAX(0,INT((IF($F25="",U$4,MIN(U$4,$F25))-$E25)/7)+1-MAX(0,ROUNDUP((U$3-$E25)/7,0)))),IF($G25=101,(AND(EOMONTH(U$3,0)&gt;=MAX(U$3,$E25),EOMONTH(U$3,0)&lt;=IF($F25="",U$4,MIN(U$4,$F25)))*1+AND(EOMONTH(U$4,0)&lt;&gt;EOMONTH(U$3,0),EOMONTH(U$4,0)&gt;=MAX(U$3,$E25),EOMONTH(U$4,0)&lt;=IF($F25="",U$4,MIN(U$4,$F25)))*1),IF($G25=102,(AND(WORKDAY(EOMONTH(U$3,0)+1,-3)&gt;=MAX(U$3,$E25),WORKDAY(EOMONTH(U$3,0)+1,-3)&lt;=IF($F25="",U$4,MIN(U$4,$F25)))*1+AND(WORKDAY(EOMONTH(U$4,0)+1,-3)&lt;&gt;WORKDAY(EOMONTH(U$3,0)+1,-3),WORKDAY(EOMONTH(U$4,0)+1,-3)&gt;=MAX(U$3,$E25),WORKDAY(EOMONTH(U$4,0)+1,-3)&lt;=IF($F25="",U$4,MIN(U$4,$F25)))*1),IF(AND(IF(EDATE($E25,MAX(0,ROUNDUP(((YEAR(U$3)-YEAR($E25))*12+MONTH(U$3)-MONTH($E25))/$G25,0)*$G25))&lt;U$3,EDATE($E25,MAX(0,ROUNDUP(((YEAR(U$3)-YEAR($E25))*12+MONTH(U$3)-MONTH($E25))/$G25,0)*$G25)+$G25),EDATE($E25,MAX(0,ROUNDUP(((YEAR(U$3)-YEAR($E25))*12+MONTH(U$3)-MONTH($E25))/$G25,0)*$G25)))&gt;=U$3,IF(EDATE($E25,MAX(0,ROUNDUP(((YEAR(U$3)-YEAR($E25))*12+MONTH(U$3)-MONTH($E25))/$G25,0)*$G25))&lt;U$3,EDATE($E25,MAX(0,ROUNDUP(((YEAR(U$3)-YEAR($E25))*12+MONTH(U$3)-MONTH($E25))/$G25,0)*$G25)+$G25),EDATE($E25,MAX(0,ROUNDUP(((YEAR(U$3)-YEAR($E25))*12+MONTH(U$3)-MONTH($E25))/$G25,0)*$G25)))&lt;=IF($F25="",U$4,MIN(U$4,$F25))),1,0)))))</f>
        <v>0</v>
      </c>
      <c r="V25" s="25" t="n">
        <f aca="false">IF(OR($C25="",$C25=0,$E25="",$B25="",$G25=-2),0,$C25*IF($G25=0,IF(IF($F25="",V$4,MIN(V$4,$F25))&lt;$E25,0,MAX(0,INT((IF($F25="",V$4,MIN(V$4,$F25))-$E25)/7)+1-MAX(0,ROUNDUP((V$3-$E25)/7,0)))),IF($G25=101,(AND(EOMONTH(V$3,0)&gt;=MAX(V$3,$E25),EOMONTH(V$3,0)&lt;=IF($F25="",V$4,MIN(V$4,$F25)))*1+AND(EOMONTH(V$4,0)&lt;&gt;EOMONTH(V$3,0),EOMONTH(V$4,0)&gt;=MAX(V$3,$E25),EOMONTH(V$4,0)&lt;=IF($F25="",V$4,MIN(V$4,$F25)))*1),IF($G25=102,(AND(WORKDAY(EOMONTH(V$3,0)+1,-3)&gt;=MAX(V$3,$E25),WORKDAY(EOMONTH(V$3,0)+1,-3)&lt;=IF($F25="",V$4,MIN(V$4,$F25)))*1+AND(WORKDAY(EOMONTH(V$4,0)+1,-3)&lt;&gt;WORKDAY(EOMONTH(V$3,0)+1,-3),WORKDAY(EOMONTH(V$4,0)+1,-3)&gt;=MAX(V$3,$E25),WORKDAY(EOMONTH(V$4,0)+1,-3)&lt;=IF($F25="",V$4,MIN(V$4,$F25)))*1),IF(AND(IF(EDATE($E25,MAX(0,ROUNDUP(((YEAR(V$3)-YEAR($E25))*12+MONTH(V$3)-MONTH($E25))/$G25,0)*$G25))&lt;V$3,EDATE($E25,MAX(0,ROUNDUP(((YEAR(V$3)-YEAR($E25))*12+MONTH(V$3)-MONTH($E25))/$G25,0)*$G25)+$G25),EDATE($E25,MAX(0,ROUNDUP(((YEAR(V$3)-YEAR($E25))*12+MONTH(V$3)-MONTH($E25))/$G25,0)*$G25)))&gt;=V$3,IF(EDATE($E25,MAX(0,ROUNDUP(((YEAR(V$3)-YEAR($E25))*12+MONTH(V$3)-MONTH($E25))/$G25,0)*$G25))&lt;V$3,EDATE($E25,MAX(0,ROUNDUP(((YEAR(V$3)-YEAR($E25))*12+MONTH(V$3)-MONTH($E25))/$G25,0)*$G25)+$G25),EDATE($E25,MAX(0,ROUNDUP(((YEAR(V$3)-YEAR($E25))*12+MONTH(V$3)-MONTH($E25))/$G25,0)*$G25)))&lt;=IF($F25="",V$4,MIN(V$4,$F25))),1,0)))))</f>
        <v>0</v>
      </c>
      <c r="W25" s="25" t="n">
        <f aca="false">IF(OR($C25="",$C25=0,$E25="",$B25="",$G25=-2),0,$C25*IF($G25=0,IF(IF($F25="",W$4,MIN(W$4,$F25))&lt;$E25,0,MAX(0,INT((IF($F25="",W$4,MIN(W$4,$F25))-$E25)/7)+1-MAX(0,ROUNDUP((W$3-$E25)/7,0)))),IF($G25=101,(AND(EOMONTH(W$3,0)&gt;=MAX(W$3,$E25),EOMONTH(W$3,0)&lt;=IF($F25="",W$4,MIN(W$4,$F25)))*1+AND(EOMONTH(W$4,0)&lt;&gt;EOMONTH(W$3,0),EOMONTH(W$4,0)&gt;=MAX(W$3,$E25),EOMONTH(W$4,0)&lt;=IF($F25="",W$4,MIN(W$4,$F25)))*1),IF($G25=102,(AND(WORKDAY(EOMONTH(W$3,0)+1,-3)&gt;=MAX(W$3,$E25),WORKDAY(EOMONTH(W$3,0)+1,-3)&lt;=IF($F25="",W$4,MIN(W$4,$F25)))*1+AND(WORKDAY(EOMONTH(W$4,0)+1,-3)&lt;&gt;WORKDAY(EOMONTH(W$3,0)+1,-3),WORKDAY(EOMONTH(W$4,0)+1,-3)&gt;=MAX(W$3,$E25),WORKDAY(EOMONTH(W$4,0)+1,-3)&lt;=IF($F25="",W$4,MIN(W$4,$F25)))*1),IF(AND(IF(EDATE($E25,MAX(0,ROUNDUP(((YEAR(W$3)-YEAR($E25))*12+MONTH(W$3)-MONTH($E25))/$G25,0)*$G25))&lt;W$3,EDATE($E25,MAX(0,ROUNDUP(((YEAR(W$3)-YEAR($E25))*12+MONTH(W$3)-MONTH($E25))/$G25,0)*$G25)+$G25),EDATE($E25,MAX(0,ROUNDUP(((YEAR(W$3)-YEAR($E25))*12+MONTH(W$3)-MONTH($E25))/$G25,0)*$G25)))&gt;=W$3,IF(EDATE($E25,MAX(0,ROUNDUP(((YEAR(W$3)-YEAR($E25))*12+MONTH(W$3)-MONTH($E25))/$G25,0)*$G25))&lt;W$3,EDATE($E25,MAX(0,ROUNDUP(((YEAR(W$3)-YEAR($E25))*12+MONTH(W$3)-MONTH($E25))/$G25,0)*$G25)+$G25),EDATE($E25,MAX(0,ROUNDUP(((YEAR(W$3)-YEAR($E25))*12+MONTH(W$3)-MONTH($E25))/$G25,0)*$G25)))&lt;=IF($F25="",W$4,MIN(W$4,$F25))),1,0)))))</f>
        <v>0</v>
      </c>
      <c r="X25" s="25" t="n">
        <f aca="false">IF(OR($C25="",$C25=0,$E25="",$B25="",$G25=-2),0,$C25*IF($G25=0,IF(IF($F25="",X$4,MIN(X$4,$F25))&lt;$E25,0,MAX(0,INT((IF($F25="",X$4,MIN(X$4,$F25))-$E25)/7)+1-MAX(0,ROUNDUP((X$3-$E25)/7,0)))),IF($G25=101,(AND(EOMONTH(X$3,0)&gt;=MAX(X$3,$E25),EOMONTH(X$3,0)&lt;=IF($F25="",X$4,MIN(X$4,$F25)))*1+AND(EOMONTH(X$4,0)&lt;&gt;EOMONTH(X$3,0),EOMONTH(X$4,0)&gt;=MAX(X$3,$E25),EOMONTH(X$4,0)&lt;=IF($F25="",X$4,MIN(X$4,$F25)))*1),IF($G25=102,(AND(WORKDAY(EOMONTH(X$3,0)+1,-3)&gt;=MAX(X$3,$E25),WORKDAY(EOMONTH(X$3,0)+1,-3)&lt;=IF($F25="",X$4,MIN(X$4,$F25)))*1+AND(WORKDAY(EOMONTH(X$4,0)+1,-3)&lt;&gt;WORKDAY(EOMONTH(X$3,0)+1,-3),WORKDAY(EOMONTH(X$4,0)+1,-3)&gt;=MAX(X$3,$E25),WORKDAY(EOMONTH(X$4,0)+1,-3)&lt;=IF($F25="",X$4,MIN(X$4,$F25)))*1),IF(AND(IF(EDATE($E25,MAX(0,ROUNDUP(((YEAR(X$3)-YEAR($E25))*12+MONTH(X$3)-MONTH($E25))/$G25,0)*$G25))&lt;X$3,EDATE($E25,MAX(0,ROUNDUP(((YEAR(X$3)-YEAR($E25))*12+MONTH(X$3)-MONTH($E25))/$G25,0)*$G25)+$G25),EDATE($E25,MAX(0,ROUNDUP(((YEAR(X$3)-YEAR($E25))*12+MONTH(X$3)-MONTH($E25))/$G25,0)*$G25)))&gt;=X$3,IF(EDATE($E25,MAX(0,ROUNDUP(((YEAR(X$3)-YEAR($E25))*12+MONTH(X$3)-MONTH($E25))/$G25,0)*$G25))&lt;X$3,EDATE($E25,MAX(0,ROUNDUP(((YEAR(X$3)-YEAR($E25))*12+MONTH(X$3)-MONTH($E25))/$G25,0)*$G25)+$G25),EDATE($E25,MAX(0,ROUNDUP(((YEAR(X$3)-YEAR($E25))*12+MONTH(X$3)-MONTH($E25))/$G25,0)*$G25)))&lt;=IF($F25="",X$4,MIN(X$4,$F25))),1,0)))))</f>
        <v>0</v>
      </c>
      <c r="Y25" s="25" t="n">
        <f aca="false">IF(OR($C25="",$C25=0,$E25="",$B25="",$G25=-2),0,$C25*IF($G25=0,IF(IF($F25="",Y$4,MIN(Y$4,$F25))&lt;$E25,0,MAX(0,INT((IF($F25="",Y$4,MIN(Y$4,$F25))-$E25)/7)+1-MAX(0,ROUNDUP((Y$3-$E25)/7,0)))),IF($G25=101,(AND(EOMONTH(Y$3,0)&gt;=MAX(Y$3,$E25),EOMONTH(Y$3,0)&lt;=IF($F25="",Y$4,MIN(Y$4,$F25)))*1+AND(EOMONTH(Y$4,0)&lt;&gt;EOMONTH(Y$3,0),EOMONTH(Y$4,0)&gt;=MAX(Y$3,$E25),EOMONTH(Y$4,0)&lt;=IF($F25="",Y$4,MIN(Y$4,$F25)))*1),IF($G25=102,(AND(WORKDAY(EOMONTH(Y$3,0)+1,-3)&gt;=MAX(Y$3,$E25),WORKDAY(EOMONTH(Y$3,0)+1,-3)&lt;=IF($F25="",Y$4,MIN(Y$4,$F25)))*1+AND(WORKDAY(EOMONTH(Y$4,0)+1,-3)&lt;&gt;WORKDAY(EOMONTH(Y$3,0)+1,-3),WORKDAY(EOMONTH(Y$4,0)+1,-3)&gt;=MAX(Y$3,$E25),WORKDAY(EOMONTH(Y$4,0)+1,-3)&lt;=IF($F25="",Y$4,MIN(Y$4,$F25)))*1),IF(AND(IF(EDATE($E25,MAX(0,ROUNDUP(((YEAR(Y$3)-YEAR($E25))*12+MONTH(Y$3)-MONTH($E25))/$G25,0)*$G25))&lt;Y$3,EDATE($E25,MAX(0,ROUNDUP(((YEAR(Y$3)-YEAR($E25))*12+MONTH(Y$3)-MONTH($E25))/$G25,0)*$G25)+$G25),EDATE($E25,MAX(0,ROUNDUP(((YEAR(Y$3)-YEAR($E25))*12+MONTH(Y$3)-MONTH($E25))/$G25,0)*$G25)))&gt;=Y$3,IF(EDATE($E25,MAX(0,ROUNDUP(((YEAR(Y$3)-YEAR($E25))*12+MONTH(Y$3)-MONTH($E25))/$G25,0)*$G25))&lt;Y$3,EDATE($E25,MAX(0,ROUNDUP(((YEAR(Y$3)-YEAR($E25))*12+MONTH(Y$3)-MONTH($E25))/$G25,0)*$G25)+$G25),EDATE($E25,MAX(0,ROUNDUP(((YEAR(Y$3)-YEAR($E25))*12+MONTH(Y$3)-MONTH($E25))/$G25,0)*$G25)))&lt;=IF($F25="",Y$4,MIN(Y$4,$F25))),1,0)))))</f>
        <v>0</v>
      </c>
      <c r="Z25" s="25" t="n">
        <f aca="false">IF(OR($C25="",$C25=0,$E25="",$B25="",$G25=-2),0,$C25*IF($G25=0,IF(IF($F25="",Z$4,MIN(Z$4,$F25))&lt;$E25,0,MAX(0,INT((IF($F25="",Z$4,MIN(Z$4,$F25))-$E25)/7)+1-MAX(0,ROUNDUP((Z$3-$E25)/7,0)))),IF($G25=101,(AND(EOMONTH(Z$3,0)&gt;=MAX(Z$3,$E25),EOMONTH(Z$3,0)&lt;=IF($F25="",Z$4,MIN(Z$4,$F25)))*1+AND(EOMONTH(Z$4,0)&lt;&gt;EOMONTH(Z$3,0),EOMONTH(Z$4,0)&gt;=MAX(Z$3,$E25),EOMONTH(Z$4,0)&lt;=IF($F25="",Z$4,MIN(Z$4,$F25)))*1),IF($G25=102,(AND(WORKDAY(EOMONTH(Z$3,0)+1,-3)&gt;=MAX(Z$3,$E25),WORKDAY(EOMONTH(Z$3,0)+1,-3)&lt;=IF($F25="",Z$4,MIN(Z$4,$F25)))*1+AND(WORKDAY(EOMONTH(Z$4,0)+1,-3)&lt;&gt;WORKDAY(EOMONTH(Z$3,0)+1,-3),WORKDAY(EOMONTH(Z$4,0)+1,-3)&gt;=MAX(Z$3,$E25),WORKDAY(EOMONTH(Z$4,0)+1,-3)&lt;=IF($F25="",Z$4,MIN(Z$4,$F25)))*1),IF(AND(IF(EDATE($E25,MAX(0,ROUNDUP(((YEAR(Z$3)-YEAR($E25))*12+MONTH(Z$3)-MONTH($E25))/$G25,0)*$G25))&lt;Z$3,EDATE($E25,MAX(0,ROUNDUP(((YEAR(Z$3)-YEAR($E25))*12+MONTH(Z$3)-MONTH($E25))/$G25,0)*$G25)+$G25),EDATE($E25,MAX(0,ROUNDUP(((YEAR(Z$3)-YEAR($E25))*12+MONTH(Z$3)-MONTH($E25))/$G25,0)*$G25)))&gt;=Z$3,IF(EDATE($E25,MAX(0,ROUNDUP(((YEAR(Z$3)-YEAR($E25))*12+MONTH(Z$3)-MONTH($E25))/$G25,0)*$G25))&lt;Z$3,EDATE($E25,MAX(0,ROUNDUP(((YEAR(Z$3)-YEAR($E25))*12+MONTH(Z$3)-MONTH($E25))/$G25,0)*$G25)+$G25),EDATE($E25,MAX(0,ROUNDUP(((YEAR(Z$3)-YEAR($E25))*12+MONTH(Z$3)-MONTH($E25))/$G25,0)*$G25)))&lt;=IF($F25="",Z$4,MIN(Z$4,$F25))),1,0)))))</f>
        <v>0</v>
      </c>
      <c r="AA25" s="25" t="n">
        <f aca="false">IF(OR($C25="",$C25=0,$E25="",$B25="",$G25=-2),0,$C25*IF($G25=0,IF(IF($F25="",AA$4,MIN(AA$4,$F25))&lt;$E25,0,MAX(0,INT((IF($F25="",AA$4,MIN(AA$4,$F25))-$E25)/7)+1-MAX(0,ROUNDUP((AA$3-$E25)/7,0)))),IF($G25=101,(AND(EOMONTH(AA$3,0)&gt;=MAX(AA$3,$E25),EOMONTH(AA$3,0)&lt;=IF($F25="",AA$4,MIN(AA$4,$F25)))*1+AND(EOMONTH(AA$4,0)&lt;&gt;EOMONTH(AA$3,0),EOMONTH(AA$4,0)&gt;=MAX(AA$3,$E25),EOMONTH(AA$4,0)&lt;=IF($F25="",AA$4,MIN(AA$4,$F25)))*1),IF($G25=102,(AND(WORKDAY(EOMONTH(AA$3,0)+1,-3)&gt;=MAX(AA$3,$E25),WORKDAY(EOMONTH(AA$3,0)+1,-3)&lt;=IF($F25="",AA$4,MIN(AA$4,$F25)))*1+AND(WORKDAY(EOMONTH(AA$4,0)+1,-3)&lt;&gt;WORKDAY(EOMONTH(AA$3,0)+1,-3),WORKDAY(EOMONTH(AA$4,0)+1,-3)&gt;=MAX(AA$3,$E25),WORKDAY(EOMONTH(AA$4,0)+1,-3)&lt;=IF($F25="",AA$4,MIN(AA$4,$F25)))*1),IF(AND(IF(EDATE($E25,MAX(0,ROUNDUP(((YEAR(AA$3)-YEAR($E25))*12+MONTH(AA$3)-MONTH($E25))/$G25,0)*$G25))&lt;AA$3,EDATE($E25,MAX(0,ROUNDUP(((YEAR(AA$3)-YEAR($E25))*12+MONTH(AA$3)-MONTH($E25))/$G25,0)*$G25)+$G25),EDATE($E25,MAX(0,ROUNDUP(((YEAR(AA$3)-YEAR($E25))*12+MONTH(AA$3)-MONTH($E25))/$G25,0)*$G25)))&gt;=AA$3,IF(EDATE($E25,MAX(0,ROUNDUP(((YEAR(AA$3)-YEAR($E25))*12+MONTH(AA$3)-MONTH($E25))/$G25,0)*$G25))&lt;AA$3,EDATE($E25,MAX(0,ROUNDUP(((YEAR(AA$3)-YEAR($E25))*12+MONTH(AA$3)-MONTH($E25))/$G25,0)*$G25)+$G25),EDATE($E25,MAX(0,ROUNDUP(((YEAR(AA$3)-YEAR($E25))*12+MONTH(AA$3)-MONTH($E25))/$G25,0)*$G25)))&lt;=IF($F25="",AA$4,MIN(AA$4,$F25))),1,0)))))</f>
        <v>0</v>
      </c>
      <c r="AB25" s="25" t="n">
        <f aca="false">IF(OR($C25="",$C25=0,$E25="",$B25="",$G25=-2),0,$C25*IF($G25=0,IF(IF($F25="",AB$4,MIN(AB$4,$F25))&lt;$E25,0,MAX(0,INT((IF($F25="",AB$4,MIN(AB$4,$F25))-$E25)/7)+1-MAX(0,ROUNDUP((AB$3-$E25)/7,0)))),IF($G25=101,(AND(EOMONTH(AB$3,0)&gt;=MAX(AB$3,$E25),EOMONTH(AB$3,0)&lt;=IF($F25="",AB$4,MIN(AB$4,$F25)))*1+AND(EOMONTH(AB$4,0)&lt;&gt;EOMONTH(AB$3,0),EOMONTH(AB$4,0)&gt;=MAX(AB$3,$E25),EOMONTH(AB$4,0)&lt;=IF($F25="",AB$4,MIN(AB$4,$F25)))*1),IF($G25=102,(AND(WORKDAY(EOMONTH(AB$3,0)+1,-3)&gt;=MAX(AB$3,$E25),WORKDAY(EOMONTH(AB$3,0)+1,-3)&lt;=IF($F25="",AB$4,MIN(AB$4,$F25)))*1+AND(WORKDAY(EOMONTH(AB$4,0)+1,-3)&lt;&gt;WORKDAY(EOMONTH(AB$3,0)+1,-3),WORKDAY(EOMONTH(AB$4,0)+1,-3)&gt;=MAX(AB$3,$E25),WORKDAY(EOMONTH(AB$4,0)+1,-3)&lt;=IF($F25="",AB$4,MIN(AB$4,$F25)))*1),IF(AND(IF(EDATE($E25,MAX(0,ROUNDUP(((YEAR(AB$3)-YEAR($E25))*12+MONTH(AB$3)-MONTH($E25))/$G25,0)*$G25))&lt;AB$3,EDATE($E25,MAX(0,ROUNDUP(((YEAR(AB$3)-YEAR($E25))*12+MONTH(AB$3)-MONTH($E25))/$G25,0)*$G25)+$G25),EDATE($E25,MAX(0,ROUNDUP(((YEAR(AB$3)-YEAR($E25))*12+MONTH(AB$3)-MONTH($E25))/$G25,0)*$G25)))&gt;=AB$3,IF(EDATE($E25,MAX(0,ROUNDUP(((YEAR(AB$3)-YEAR($E25))*12+MONTH(AB$3)-MONTH($E25))/$G25,0)*$G25))&lt;AB$3,EDATE($E25,MAX(0,ROUNDUP(((YEAR(AB$3)-YEAR($E25))*12+MONTH(AB$3)-MONTH($E25))/$G25,0)*$G25)+$G25),EDATE($E25,MAX(0,ROUNDUP(((YEAR(AB$3)-YEAR($E25))*12+MONTH(AB$3)-MONTH($E25))/$G25,0)*$G25)))&lt;=IF($F25="",AB$4,MIN(AB$4,$F25))),1,0)))))</f>
        <v>0</v>
      </c>
      <c r="AC25" s="25" t="n">
        <f aca="false">IF(OR($C25="",$C25=0,$E25="",$B25="",$G25=-2),0,$C25*IF($G25=0,IF(IF($F25="",AC$4,MIN(AC$4,$F25))&lt;$E25,0,MAX(0,INT((IF($F25="",AC$4,MIN(AC$4,$F25))-$E25)/7)+1-MAX(0,ROUNDUP((AC$3-$E25)/7,0)))),IF($G25=101,(AND(EOMONTH(AC$3,0)&gt;=MAX(AC$3,$E25),EOMONTH(AC$3,0)&lt;=IF($F25="",AC$4,MIN(AC$4,$F25)))*1+AND(EOMONTH(AC$4,0)&lt;&gt;EOMONTH(AC$3,0),EOMONTH(AC$4,0)&gt;=MAX(AC$3,$E25),EOMONTH(AC$4,0)&lt;=IF($F25="",AC$4,MIN(AC$4,$F25)))*1),IF($G25=102,(AND(WORKDAY(EOMONTH(AC$3,0)+1,-3)&gt;=MAX(AC$3,$E25),WORKDAY(EOMONTH(AC$3,0)+1,-3)&lt;=IF($F25="",AC$4,MIN(AC$4,$F25)))*1+AND(WORKDAY(EOMONTH(AC$4,0)+1,-3)&lt;&gt;WORKDAY(EOMONTH(AC$3,0)+1,-3),WORKDAY(EOMONTH(AC$4,0)+1,-3)&gt;=MAX(AC$3,$E25),WORKDAY(EOMONTH(AC$4,0)+1,-3)&lt;=IF($F25="",AC$4,MIN(AC$4,$F25)))*1),IF(AND(IF(EDATE($E25,MAX(0,ROUNDUP(((YEAR(AC$3)-YEAR($E25))*12+MONTH(AC$3)-MONTH($E25))/$G25,0)*$G25))&lt;AC$3,EDATE($E25,MAX(0,ROUNDUP(((YEAR(AC$3)-YEAR($E25))*12+MONTH(AC$3)-MONTH($E25))/$G25,0)*$G25)+$G25),EDATE($E25,MAX(0,ROUNDUP(((YEAR(AC$3)-YEAR($E25))*12+MONTH(AC$3)-MONTH($E25))/$G25,0)*$G25)))&gt;=AC$3,IF(EDATE($E25,MAX(0,ROUNDUP(((YEAR(AC$3)-YEAR($E25))*12+MONTH(AC$3)-MONTH($E25))/$G25,0)*$G25))&lt;AC$3,EDATE($E25,MAX(0,ROUNDUP(((YEAR(AC$3)-YEAR($E25))*12+MONTH(AC$3)-MONTH($E25))/$G25,0)*$G25)+$G25),EDATE($E25,MAX(0,ROUNDUP(((YEAR(AC$3)-YEAR($E25))*12+MONTH(AC$3)-MONTH($E25))/$G25,0)*$G25)))&lt;=IF($F25="",AC$4,MIN(AC$4,$F25))),1,0)))))</f>
        <v>0</v>
      </c>
      <c r="AD25" s="25" t="n">
        <f aca="false">IF(OR($C25="",$C25=0,$E25="",$B25="",$G25=-2),0,$C25*IF($G25=0,IF(IF($F25="",AD$4,MIN(AD$4,$F25))&lt;$E25,0,MAX(0,INT((IF($F25="",AD$4,MIN(AD$4,$F25))-$E25)/7)+1-MAX(0,ROUNDUP((AD$3-$E25)/7,0)))),IF($G25=101,(AND(EOMONTH(AD$3,0)&gt;=MAX(AD$3,$E25),EOMONTH(AD$3,0)&lt;=IF($F25="",AD$4,MIN(AD$4,$F25)))*1+AND(EOMONTH(AD$4,0)&lt;&gt;EOMONTH(AD$3,0),EOMONTH(AD$4,0)&gt;=MAX(AD$3,$E25),EOMONTH(AD$4,0)&lt;=IF($F25="",AD$4,MIN(AD$4,$F25)))*1),IF($G25=102,(AND(WORKDAY(EOMONTH(AD$3,0)+1,-3)&gt;=MAX(AD$3,$E25),WORKDAY(EOMONTH(AD$3,0)+1,-3)&lt;=IF($F25="",AD$4,MIN(AD$4,$F25)))*1+AND(WORKDAY(EOMONTH(AD$4,0)+1,-3)&lt;&gt;WORKDAY(EOMONTH(AD$3,0)+1,-3),WORKDAY(EOMONTH(AD$4,0)+1,-3)&gt;=MAX(AD$3,$E25),WORKDAY(EOMONTH(AD$4,0)+1,-3)&lt;=IF($F25="",AD$4,MIN(AD$4,$F25)))*1),IF(AND(IF(EDATE($E25,MAX(0,ROUNDUP(((YEAR(AD$3)-YEAR($E25))*12+MONTH(AD$3)-MONTH($E25))/$G25,0)*$G25))&lt;AD$3,EDATE($E25,MAX(0,ROUNDUP(((YEAR(AD$3)-YEAR($E25))*12+MONTH(AD$3)-MONTH($E25))/$G25,0)*$G25)+$G25),EDATE($E25,MAX(0,ROUNDUP(((YEAR(AD$3)-YEAR($E25))*12+MONTH(AD$3)-MONTH($E25))/$G25,0)*$G25)))&gt;=AD$3,IF(EDATE($E25,MAX(0,ROUNDUP(((YEAR(AD$3)-YEAR($E25))*12+MONTH(AD$3)-MONTH($E25))/$G25,0)*$G25))&lt;AD$3,EDATE($E25,MAX(0,ROUNDUP(((YEAR(AD$3)-YEAR($E25))*12+MONTH(AD$3)-MONTH($E25))/$G25,0)*$G25)+$G25),EDATE($E25,MAX(0,ROUNDUP(((YEAR(AD$3)-YEAR($E25))*12+MONTH(AD$3)-MONTH($E25))/$G25,0)*$G25)))&lt;=IF($F25="",AD$4,MIN(AD$4,$F25))),1,0)))))</f>
        <v>0</v>
      </c>
      <c r="AE25" s="25" t="n">
        <f aca="false">IF(OR($C25="",$C25=0,$E25="",$B25="",$G25=-2),0,$C25*IF($G25=0,IF(IF($F25="",AE$4,MIN(AE$4,$F25))&lt;$E25,0,MAX(0,INT((IF($F25="",AE$4,MIN(AE$4,$F25))-$E25)/7)+1-MAX(0,ROUNDUP((AE$3-$E25)/7,0)))),IF($G25=101,(AND(EOMONTH(AE$3,0)&gt;=MAX(AE$3,$E25),EOMONTH(AE$3,0)&lt;=IF($F25="",AE$4,MIN(AE$4,$F25)))*1+AND(EOMONTH(AE$4,0)&lt;&gt;EOMONTH(AE$3,0),EOMONTH(AE$4,0)&gt;=MAX(AE$3,$E25),EOMONTH(AE$4,0)&lt;=IF($F25="",AE$4,MIN(AE$4,$F25)))*1),IF($G25=102,(AND(WORKDAY(EOMONTH(AE$3,0)+1,-3)&gt;=MAX(AE$3,$E25),WORKDAY(EOMONTH(AE$3,0)+1,-3)&lt;=IF($F25="",AE$4,MIN(AE$4,$F25)))*1+AND(WORKDAY(EOMONTH(AE$4,0)+1,-3)&lt;&gt;WORKDAY(EOMONTH(AE$3,0)+1,-3),WORKDAY(EOMONTH(AE$4,0)+1,-3)&gt;=MAX(AE$3,$E25),WORKDAY(EOMONTH(AE$4,0)+1,-3)&lt;=IF($F25="",AE$4,MIN(AE$4,$F25)))*1),IF(AND(IF(EDATE($E25,MAX(0,ROUNDUP(((YEAR(AE$3)-YEAR($E25))*12+MONTH(AE$3)-MONTH($E25))/$G25,0)*$G25))&lt;AE$3,EDATE($E25,MAX(0,ROUNDUP(((YEAR(AE$3)-YEAR($E25))*12+MONTH(AE$3)-MONTH($E25))/$G25,0)*$G25)+$G25),EDATE($E25,MAX(0,ROUNDUP(((YEAR(AE$3)-YEAR($E25))*12+MONTH(AE$3)-MONTH($E25))/$G25,0)*$G25)))&gt;=AE$3,IF(EDATE($E25,MAX(0,ROUNDUP(((YEAR(AE$3)-YEAR($E25))*12+MONTH(AE$3)-MONTH($E25))/$G25,0)*$G25))&lt;AE$3,EDATE($E25,MAX(0,ROUNDUP(((YEAR(AE$3)-YEAR($E25))*12+MONTH(AE$3)-MONTH($E25))/$G25,0)*$G25)+$G25),EDATE($E25,MAX(0,ROUNDUP(((YEAR(AE$3)-YEAR($E25))*12+MONTH(AE$3)-MONTH($E25))/$G25,0)*$G25)))&lt;=IF($F25="",AE$4,MIN(AE$4,$F25))),1,0)))))</f>
        <v>0</v>
      </c>
      <c r="AF25" s="25" t="n">
        <f aca="false">IF(OR($C25="",$C25=0,$E25="",$B25="",$G25=-2),0,$C25*IF($G25=0,IF(IF($F25="",AF$4,MIN(AF$4,$F25))&lt;$E25,0,MAX(0,INT((IF($F25="",AF$4,MIN(AF$4,$F25))-$E25)/7)+1-MAX(0,ROUNDUP((AF$3-$E25)/7,0)))),IF($G25=101,(AND(EOMONTH(AF$3,0)&gt;=MAX(AF$3,$E25),EOMONTH(AF$3,0)&lt;=IF($F25="",AF$4,MIN(AF$4,$F25)))*1+AND(EOMONTH(AF$4,0)&lt;&gt;EOMONTH(AF$3,0),EOMONTH(AF$4,0)&gt;=MAX(AF$3,$E25),EOMONTH(AF$4,0)&lt;=IF($F25="",AF$4,MIN(AF$4,$F25)))*1),IF($G25=102,(AND(WORKDAY(EOMONTH(AF$3,0)+1,-3)&gt;=MAX(AF$3,$E25),WORKDAY(EOMONTH(AF$3,0)+1,-3)&lt;=IF($F25="",AF$4,MIN(AF$4,$F25)))*1+AND(WORKDAY(EOMONTH(AF$4,0)+1,-3)&lt;&gt;WORKDAY(EOMONTH(AF$3,0)+1,-3),WORKDAY(EOMONTH(AF$4,0)+1,-3)&gt;=MAX(AF$3,$E25),WORKDAY(EOMONTH(AF$4,0)+1,-3)&lt;=IF($F25="",AF$4,MIN(AF$4,$F25)))*1),IF(AND(IF(EDATE($E25,MAX(0,ROUNDUP(((YEAR(AF$3)-YEAR($E25))*12+MONTH(AF$3)-MONTH($E25))/$G25,0)*$G25))&lt;AF$3,EDATE($E25,MAX(0,ROUNDUP(((YEAR(AF$3)-YEAR($E25))*12+MONTH(AF$3)-MONTH($E25))/$G25,0)*$G25)+$G25),EDATE($E25,MAX(0,ROUNDUP(((YEAR(AF$3)-YEAR($E25))*12+MONTH(AF$3)-MONTH($E25))/$G25,0)*$G25)))&gt;=AF$3,IF(EDATE($E25,MAX(0,ROUNDUP(((YEAR(AF$3)-YEAR($E25))*12+MONTH(AF$3)-MONTH($E25))/$G25,0)*$G25))&lt;AF$3,EDATE($E25,MAX(0,ROUNDUP(((YEAR(AF$3)-YEAR($E25))*12+MONTH(AF$3)-MONTH($E25))/$G25,0)*$G25)+$G25),EDATE($E25,MAX(0,ROUNDUP(((YEAR(AF$3)-YEAR($E25))*12+MONTH(AF$3)-MONTH($E25))/$G25,0)*$G25)))&lt;=IF($F25="",AF$4,MIN(AF$4,$F25))),1,0)))))</f>
        <v>0</v>
      </c>
    </row>
    <row r="26" customFormat="false" ht="15" hidden="false" customHeight="false" outlineLevel="0" collapsed="false">
      <c r="A26" s="5"/>
      <c r="B26" s="5"/>
      <c r="C26" s="8"/>
      <c r="D26" s="5"/>
      <c r="E26" s="7"/>
      <c r="F26" s="7"/>
      <c r="G26" s="24" t="n">
        <f aca="false">IFERROR(INDEX(Listen!$E$2:$E$8,MATCH(D26,Listen!$D$2:$D$8,0)),-2)</f>
        <v>-2</v>
      </c>
      <c r="H26" s="25" t="n">
        <f aca="false">IF(OR($C26="",$C26=0,$E26="",$B26="",$G26=-2),0,$C26*IF($G26=0,IF(IF($F26="",H$4,MIN(H$4,$F26))&lt;$E26,0,MAX(0,INT((IF($F26="",H$4,MIN(H$4,$F26))-$E26)/7)+1-MAX(0,ROUNDUP((H$3-$E26)/7,0)))),IF($G26=101,(AND(EOMONTH(H$3,0)&gt;=MAX(H$3,$E26),EOMONTH(H$3,0)&lt;=IF($F26="",H$4,MIN(H$4,$F26)))*1+AND(EOMONTH(H$4,0)&lt;&gt;EOMONTH(H$3,0),EOMONTH(H$4,0)&gt;=MAX(H$3,$E26),EOMONTH(H$4,0)&lt;=IF($F26="",H$4,MIN(H$4,$F26)))*1),IF($G26=102,(AND(WORKDAY(EOMONTH(H$3,0)+1,-3)&gt;=MAX(H$3,$E26),WORKDAY(EOMONTH(H$3,0)+1,-3)&lt;=IF($F26="",H$4,MIN(H$4,$F26)))*1+AND(WORKDAY(EOMONTH(H$4,0)+1,-3)&lt;&gt;WORKDAY(EOMONTH(H$3,0)+1,-3),WORKDAY(EOMONTH(H$4,0)+1,-3)&gt;=MAX(H$3,$E26),WORKDAY(EOMONTH(H$4,0)+1,-3)&lt;=IF($F26="",H$4,MIN(H$4,$F26)))*1),IF(AND(IF(EDATE($E26,MAX(0,ROUNDUP(((YEAR(H$3)-YEAR($E26))*12+MONTH(H$3)-MONTH($E26))/$G26,0)*$G26))&lt;H$3,EDATE($E26,MAX(0,ROUNDUP(((YEAR(H$3)-YEAR($E26))*12+MONTH(H$3)-MONTH($E26))/$G26,0)*$G26)+$G26),EDATE($E26,MAX(0,ROUNDUP(((YEAR(H$3)-YEAR($E26))*12+MONTH(H$3)-MONTH($E26))/$G26,0)*$G26)))&gt;=H$3,IF(EDATE($E26,MAX(0,ROUNDUP(((YEAR(H$3)-YEAR($E26))*12+MONTH(H$3)-MONTH($E26))/$G26,0)*$G26))&lt;H$3,EDATE($E26,MAX(0,ROUNDUP(((YEAR(H$3)-YEAR($E26))*12+MONTH(H$3)-MONTH($E26))/$G26,0)*$G26)+$G26),EDATE($E26,MAX(0,ROUNDUP(((YEAR(H$3)-YEAR($E26))*12+MONTH(H$3)-MONTH($E26))/$G26,0)*$G26)))&lt;=IF($F26="",H$4,MIN(H$4,$F26))),1,0)))))</f>
        <v>0</v>
      </c>
      <c r="I26" s="25" t="n">
        <f aca="false">IF(OR($C26="",$C26=0,$E26="",$B26="",$G26=-2),0,$C26*IF($G26=0,IF(IF($F26="",I$4,MIN(I$4,$F26))&lt;$E26,0,MAX(0,INT((IF($F26="",I$4,MIN(I$4,$F26))-$E26)/7)+1-MAX(0,ROUNDUP((I$3-$E26)/7,0)))),IF($G26=101,(AND(EOMONTH(I$3,0)&gt;=MAX(I$3,$E26),EOMONTH(I$3,0)&lt;=IF($F26="",I$4,MIN(I$4,$F26)))*1+AND(EOMONTH(I$4,0)&lt;&gt;EOMONTH(I$3,0),EOMONTH(I$4,0)&gt;=MAX(I$3,$E26),EOMONTH(I$4,0)&lt;=IF($F26="",I$4,MIN(I$4,$F26)))*1),IF($G26=102,(AND(WORKDAY(EOMONTH(I$3,0)+1,-3)&gt;=MAX(I$3,$E26),WORKDAY(EOMONTH(I$3,0)+1,-3)&lt;=IF($F26="",I$4,MIN(I$4,$F26)))*1+AND(WORKDAY(EOMONTH(I$4,0)+1,-3)&lt;&gt;WORKDAY(EOMONTH(I$3,0)+1,-3),WORKDAY(EOMONTH(I$4,0)+1,-3)&gt;=MAX(I$3,$E26),WORKDAY(EOMONTH(I$4,0)+1,-3)&lt;=IF($F26="",I$4,MIN(I$4,$F26)))*1),IF(AND(IF(EDATE($E26,MAX(0,ROUNDUP(((YEAR(I$3)-YEAR($E26))*12+MONTH(I$3)-MONTH($E26))/$G26,0)*$G26))&lt;I$3,EDATE($E26,MAX(0,ROUNDUP(((YEAR(I$3)-YEAR($E26))*12+MONTH(I$3)-MONTH($E26))/$G26,0)*$G26)+$G26),EDATE($E26,MAX(0,ROUNDUP(((YEAR(I$3)-YEAR($E26))*12+MONTH(I$3)-MONTH($E26))/$G26,0)*$G26)))&gt;=I$3,IF(EDATE($E26,MAX(0,ROUNDUP(((YEAR(I$3)-YEAR($E26))*12+MONTH(I$3)-MONTH($E26))/$G26,0)*$G26))&lt;I$3,EDATE($E26,MAX(0,ROUNDUP(((YEAR(I$3)-YEAR($E26))*12+MONTH(I$3)-MONTH($E26))/$G26,0)*$G26)+$G26),EDATE($E26,MAX(0,ROUNDUP(((YEAR(I$3)-YEAR($E26))*12+MONTH(I$3)-MONTH($E26))/$G26,0)*$G26)))&lt;=IF($F26="",I$4,MIN(I$4,$F26))),1,0)))))</f>
        <v>0</v>
      </c>
      <c r="J26" s="25" t="n">
        <f aca="false">IF(OR($C26="",$C26=0,$E26="",$B26="",$G26=-2),0,$C26*IF($G26=0,IF(IF($F26="",J$4,MIN(J$4,$F26))&lt;$E26,0,MAX(0,INT((IF($F26="",J$4,MIN(J$4,$F26))-$E26)/7)+1-MAX(0,ROUNDUP((J$3-$E26)/7,0)))),IF($G26=101,(AND(EOMONTH(J$3,0)&gt;=MAX(J$3,$E26),EOMONTH(J$3,0)&lt;=IF($F26="",J$4,MIN(J$4,$F26)))*1+AND(EOMONTH(J$4,0)&lt;&gt;EOMONTH(J$3,0),EOMONTH(J$4,0)&gt;=MAX(J$3,$E26),EOMONTH(J$4,0)&lt;=IF($F26="",J$4,MIN(J$4,$F26)))*1),IF($G26=102,(AND(WORKDAY(EOMONTH(J$3,0)+1,-3)&gt;=MAX(J$3,$E26),WORKDAY(EOMONTH(J$3,0)+1,-3)&lt;=IF($F26="",J$4,MIN(J$4,$F26)))*1+AND(WORKDAY(EOMONTH(J$4,0)+1,-3)&lt;&gt;WORKDAY(EOMONTH(J$3,0)+1,-3),WORKDAY(EOMONTH(J$4,0)+1,-3)&gt;=MAX(J$3,$E26),WORKDAY(EOMONTH(J$4,0)+1,-3)&lt;=IF($F26="",J$4,MIN(J$4,$F26)))*1),IF(AND(IF(EDATE($E26,MAX(0,ROUNDUP(((YEAR(J$3)-YEAR($E26))*12+MONTH(J$3)-MONTH($E26))/$G26,0)*$G26))&lt;J$3,EDATE($E26,MAX(0,ROUNDUP(((YEAR(J$3)-YEAR($E26))*12+MONTH(J$3)-MONTH($E26))/$G26,0)*$G26)+$G26),EDATE($E26,MAX(0,ROUNDUP(((YEAR(J$3)-YEAR($E26))*12+MONTH(J$3)-MONTH($E26))/$G26,0)*$G26)))&gt;=J$3,IF(EDATE($E26,MAX(0,ROUNDUP(((YEAR(J$3)-YEAR($E26))*12+MONTH(J$3)-MONTH($E26))/$G26,0)*$G26))&lt;J$3,EDATE($E26,MAX(0,ROUNDUP(((YEAR(J$3)-YEAR($E26))*12+MONTH(J$3)-MONTH($E26))/$G26,0)*$G26)+$G26),EDATE($E26,MAX(0,ROUNDUP(((YEAR(J$3)-YEAR($E26))*12+MONTH(J$3)-MONTH($E26))/$G26,0)*$G26)))&lt;=IF($F26="",J$4,MIN(J$4,$F26))),1,0)))))</f>
        <v>0</v>
      </c>
      <c r="K26" s="25" t="n">
        <f aca="false">IF(OR($C26="",$C26=0,$E26="",$B26="",$G26=-2),0,$C26*IF($G26=0,IF(IF($F26="",K$4,MIN(K$4,$F26))&lt;$E26,0,MAX(0,INT((IF($F26="",K$4,MIN(K$4,$F26))-$E26)/7)+1-MAX(0,ROUNDUP((K$3-$E26)/7,0)))),IF($G26=101,(AND(EOMONTH(K$3,0)&gt;=MAX(K$3,$E26),EOMONTH(K$3,0)&lt;=IF($F26="",K$4,MIN(K$4,$F26)))*1+AND(EOMONTH(K$4,0)&lt;&gt;EOMONTH(K$3,0),EOMONTH(K$4,0)&gt;=MAX(K$3,$E26),EOMONTH(K$4,0)&lt;=IF($F26="",K$4,MIN(K$4,$F26)))*1),IF($G26=102,(AND(WORKDAY(EOMONTH(K$3,0)+1,-3)&gt;=MAX(K$3,$E26),WORKDAY(EOMONTH(K$3,0)+1,-3)&lt;=IF($F26="",K$4,MIN(K$4,$F26)))*1+AND(WORKDAY(EOMONTH(K$4,0)+1,-3)&lt;&gt;WORKDAY(EOMONTH(K$3,0)+1,-3),WORKDAY(EOMONTH(K$4,0)+1,-3)&gt;=MAX(K$3,$E26),WORKDAY(EOMONTH(K$4,0)+1,-3)&lt;=IF($F26="",K$4,MIN(K$4,$F26)))*1),IF(AND(IF(EDATE($E26,MAX(0,ROUNDUP(((YEAR(K$3)-YEAR($E26))*12+MONTH(K$3)-MONTH($E26))/$G26,0)*$G26))&lt;K$3,EDATE($E26,MAX(0,ROUNDUP(((YEAR(K$3)-YEAR($E26))*12+MONTH(K$3)-MONTH($E26))/$G26,0)*$G26)+$G26),EDATE($E26,MAX(0,ROUNDUP(((YEAR(K$3)-YEAR($E26))*12+MONTH(K$3)-MONTH($E26))/$G26,0)*$G26)))&gt;=K$3,IF(EDATE($E26,MAX(0,ROUNDUP(((YEAR(K$3)-YEAR($E26))*12+MONTH(K$3)-MONTH($E26))/$G26,0)*$G26))&lt;K$3,EDATE($E26,MAX(0,ROUNDUP(((YEAR(K$3)-YEAR($E26))*12+MONTH(K$3)-MONTH($E26))/$G26,0)*$G26)+$G26),EDATE($E26,MAX(0,ROUNDUP(((YEAR(K$3)-YEAR($E26))*12+MONTH(K$3)-MONTH($E26))/$G26,0)*$G26)))&lt;=IF($F26="",K$4,MIN(K$4,$F26))),1,0)))))</f>
        <v>0</v>
      </c>
      <c r="L26" s="25" t="n">
        <f aca="false">IF(OR($C26="",$C26=0,$E26="",$B26="",$G26=-2),0,$C26*IF($G26=0,IF(IF($F26="",L$4,MIN(L$4,$F26))&lt;$E26,0,MAX(0,INT((IF($F26="",L$4,MIN(L$4,$F26))-$E26)/7)+1-MAX(0,ROUNDUP((L$3-$E26)/7,0)))),IF($G26=101,(AND(EOMONTH(L$3,0)&gt;=MAX(L$3,$E26),EOMONTH(L$3,0)&lt;=IF($F26="",L$4,MIN(L$4,$F26)))*1+AND(EOMONTH(L$4,0)&lt;&gt;EOMONTH(L$3,0),EOMONTH(L$4,0)&gt;=MAX(L$3,$E26),EOMONTH(L$4,0)&lt;=IF($F26="",L$4,MIN(L$4,$F26)))*1),IF($G26=102,(AND(WORKDAY(EOMONTH(L$3,0)+1,-3)&gt;=MAX(L$3,$E26),WORKDAY(EOMONTH(L$3,0)+1,-3)&lt;=IF($F26="",L$4,MIN(L$4,$F26)))*1+AND(WORKDAY(EOMONTH(L$4,0)+1,-3)&lt;&gt;WORKDAY(EOMONTH(L$3,0)+1,-3),WORKDAY(EOMONTH(L$4,0)+1,-3)&gt;=MAX(L$3,$E26),WORKDAY(EOMONTH(L$4,0)+1,-3)&lt;=IF($F26="",L$4,MIN(L$4,$F26)))*1),IF(AND(IF(EDATE($E26,MAX(0,ROUNDUP(((YEAR(L$3)-YEAR($E26))*12+MONTH(L$3)-MONTH($E26))/$G26,0)*$G26))&lt;L$3,EDATE($E26,MAX(0,ROUNDUP(((YEAR(L$3)-YEAR($E26))*12+MONTH(L$3)-MONTH($E26))/$G26,0)*$G26)+$G26),EDATE($E26,MAX(0,ROUNDUP(((YEAR(L$3)-YEAR($E26))*12+MONTH(L$3)-MONTH($E26))/$G26,0)*$G26)))&gt;=L$3,IF(EDATE($E26,MAX(0,ROUNDUP(((YEAR(L$3)-YEAR($E26))*12+MONTH(L$3)-MONTH($E26))/$G26,0)*$G26))&lt;L$3,EDATE($E26,MAX(0,ROUNDUP(((YEAR(L$3)-YEAR($E26))*12+MONTH(L$3)-MONTH($E26))/$G26,0)*$G26)+$G26),EDATE($E26,MAX(0,ROUNDUP(((YEAR(L$3)-YEAR($E26))*12+MONTH(L$3)-MONTH($E26))/$G26,0)*$G26)))&lt;=IF($F26="",L$4,MIN(L$4,$F26))),1,0)))))</f>
        <v>0</v>
      </c>
      <c r="M26" s="25" t="n">
        <f aca="false">IF(OR($C26="",$C26=0,$E26="",$B26="",$G26=-2),0,$C26*IF($G26=0,IF(IF($F26="",M$4,MIN(M$4,$F26))&lt;$E26,0,MAX(0,INT((IF($F26="",M$4,MIN(M$4,$F26))-$E26)/7)+1-MAX(0,ROUNDUP((M$3-$E26)/7,0)))),IF($G26=101,(AND(EOMONTH(M$3,0)&gt;=MAX(M$3,$E26),EOMONTH(M$3,0)&lt;=IF($F26="",M$4,MIN(M$4,$F26)))*1+AND(EOMONTH(M$4,0)&lt;&gt;EOMONTH(M$3,0),EOMONTH(M$4,0)&gt;=MAX(M$3,$E26),EOMONTH(M$4,0)&lt;=IF($F26="",M$4,MIN(M$4,$F26)))*1),IF($G26=102,(AND(WORKDAY(EOMONTH(M$3,0)+1,-3)&gt;=MAX(M$3,$E26),WORKDAY(EOMONTH(M$3,0)+1,-3)&lt;=IF($F26="",M$4,MIN(M$4,$F26)))*1+AND(WORKDAY(EOMONTH(M$4,0)+1,-3)&lt;&gt;WORKDAY(EOMONTH(M$3,0)+1,-3),WORKDAY(EOMONTH(M$4,0)+1,-3)&gt;=MAX(M$3,$E26),WORKDAY(EOMONTH(M$4,0)+1,-3)&lt;=IF($F26="",M$4,MIN(M$4,$F26)))*1),IF(AND(IF(EDATE($E26,MAX(0,ROUNDUP(((YEAR(M$3)-YEAR($E26))*12+MONTH(M$3)-MONTH($E26))/$G26,0)*$G26))&lt;M$3,EDATE($E26,MAX(0,ROUNDUP(((YEAR(M$3)-YEAR($E26))*12+MONTH(M$3)-MONTH($E26))/$G26,0)*$G26)+$G26),EDATE($E26,MAX(0,ROUNDUP(((YEAR(M$3)-YEAR($E26))*12+MONTH(M$3)-MONTH($E26))/$G26,0)*$G26)))&gt;=M$3,IF(EDATE($E26,MAX(0,ROUNDUP(((YEAR(M$3)-YEAR($E26))*12+MONTH(M$3)-MONTH($E26))/$G26,0)*$G26))&lt;M$3,EDATE($E26,MAX(0,ROUNDUP(((YEAR(M$3)-YEAR($E26))*12+MONTH(M$3)-MONTH($E26))/$G26,0)*$G26)+$G26),EDATE($E26,MAX(0,ROUNDUP(((YEAR(M$3)-YEAR($E26))*12+MONTH(M$3)-MONTH($E26))/$G26,0)*$G26)))&lt;=IF($F26="",M$4,MIN(M$4,$F26))),1,0)))))</f>
        <v>0</v>
      </c>
      <c r="N26" s="25" t="n">
        <f aca="false">IF(OR($C26="",$C26=0,$E26="",$B26="",$G26=-2),0,$C26*IF($G26=0,IF(IF($F26="",N$4,MIN(N$4,$F26))&lt;$E26,0,MAX(0,INT((IF($F26="",N$4,MIN(N$4,$F26))-$E26)/7)+1-MAX(0,ROUNDUP((N$3-$E26)/7,0)))),IF($G26=101,(AND(EOMONTH(N$3,0)&gt;=MAX(N$3,$E26),EOMONTH(N$3,0)&lt;=IF($F26="",N$4,MIN(N$4,$F26)))*1+AND(EOMONTH(N$4,0)&lt;&gt;EOMONTH(N$3,0),EOMONTH(N$4,0)&gt;=MAX(N$3,$E26),EOMONTH(N$4,0)&lt;=IF($F26="",N$4,MIN(N$4,$F26)))*1),IF($G26=102,(AND(WORKDAY(EOMONTH(N$3,0)+1,-3)&gt;=MAX(N$3,$E26),WORKDAY(EOMONTH(N$3,0)+1,-3)&lt;=IF($F26="",N$4,MIN(N$4,$F26)))*1+AND(WORKDAY(EOMONTH(N$4,0)+1,-3)&lt;&gt;WORKDAY(EOMONTH(N$3,0)+1,-3),WORKDAY(EOMONTH(N$4,0)+1,-3)&gt;=MAX(N$3,$E26),WORKDAY(EOMONTH(N$4,0)+1,-3)&lt;=IF($F26="",N$4,MIN(N$4,$F26)))*1),IF(AND(IF(EDATE($E26,MAX(0,ROUNDUP(((YEAR(N$3)-YEAR($E26))*12+MONTH(N$3)-MONTH($E26))/$G26,0)*$G26))&lt;N$3,EDATE($E26,MAX(0,ROUNDUP(((YEAR(N$3)-YEAR($E26))*12+MONTH(N$3)-MONTH($E26))/$G26,0)*$G26)+$G26),EDATE($E26,MAX(0,ROUNDUP(((YEAR(N$3)-YEAR($E26))*12+MONTH(N$3)-MONTH($E26))/$G26,0)*$G26)))&gt;=N$3,IF(EDATE($E26,MAX(0,ROUNDUP(((YEAR(N$3)-YEAR($E26))*12+MONTH(N$3)-MONTH($E26))/$G26,0)*$G26))&lt;N$3,EDATE($E26,MAX(0,ROUNDUP(((YEAR(N$3)-YEAR($E26))*12+MONTH(N$3)-MONTH($E26))/$G26,0)*$G26)+$G26),EDATE($E26,MAX(0,ROUNDUP(((YEAR(N$3)-YEAR($E26))*12+MONTH(N$3)-MONTH($E26))/$G26,0)*$G26)))&lt;=IF($F26="",N$4,MIN(N$4,$F26))),1,0)))))</f>
        <v>0</v>
      </c>
      <c r="O26" s="25" t="n">
        <f aca="false">IF(OR($C26="",$C26=0,$E26="",$B26="",$G26=-2),0,$C26*IF($G26=0,IF(IF($F26="",O$4,MIN(O$4,$F26))&lt;$E26,0,MAX(0,INT((IF($F26="",O$4,MIN(O$4,$F26))-$E26)/7)+1-MAX(0,ROUNDUP((O$3-$E26)/7,0)))),IF($G26=101,(AND(EOMONTH(O$3,0)&gt;=MAX(O$3,$E26),EOMONTH(O$3,0)&lt;=IF($F26="",O$4,MIN(O$4,$F26)))*1+AND(EOMONTH(O$4,0)&lt;&gt;EOMONTH(O$3,0),EOMONTH(O$4,0)&gt;=MAX(O$3,$E26),EOMONTH(O$4,0)&lt;=IF($F26="",O$4,MIN(O$4,$F26)))*1),IF($G26=102,(AND(WORKDAY(EOMONTH(O$3,0)+1,-3)&gt;=MAX(O$3,$E26),WORKDAY(EOMONTH(O$3,0)+1,-3)&lt;=IF($F26="",O$4,MIN(O$4,$F26)))*1+AND(WORKDAY(EOMONTH(O$4,0)+1,-3)&lt;&gt;WORKDAY(EOMONTH(O$3,0)+1,-3),WORKDAY(EOMONTH(O$4,0)+1,-3)&gt;=MAX(O$3,$E26),WORKDAY(EOMONTH(O$4,0)+1,-3)&lt;=IF($F26="",O$4,MIN(O$4,$F26)))*1),IF(AND(IF(EDATE($E26,MAX(0,ROUNDUP(((YEAR(O$3)-YEAR($E26))*12+MONTH(O$3)-MONTH($E26))/$G26,0)*$G26))&lt;O$3,EDATE($E26,MAX(0,ROUNDUP(((YEAR(O$3)-YEAR($E26))*12+MONTH(O$3)-MONTH($E26))/$G26,0)*$G26)+$G26),EDATE($E26,MAX(0,ROUNDUP(((YEAR(O$3)-YEAR($E26))*12+MONTH(O$3)-MONTH($E26))/$G26,0)*$G26)))&gt;=O$3,IF(EDATE($E26,MAX(0,ROUNDUP(((YEAR(O$3)-YEAR($E26))*12+MONTH(O$3)-MONTH($E26))/$G26,0)*$G26))&lt;O$3,EDATE($E26,MAX(0,ROUNDUP(((YEAR(O$3)-YEAR($E26))*12+MONTH(O$3)-MONTH($E26))/$G26,0)*$G26)+$G26),EDATE($E26,MAX(0,ROUNDUP(((YEAR(O$3)-YEAR($E26))*12+MONTH(O$3)-MONTH($E26))/$G26,0)*$G26)))&lt;=IF($F26="",O$4,MIN(O$4,$F26))),1,0)))))</f>
        <v>0</v>
      </c>
      <c r="P26" s="25" t="n">
        <f aca="false">IF(OR($C26="",$C26=0,$E26="",$B26="",$G26=-2),0,$C26*IF($G26=0,IF(IF($F26="",P$4,MIN(P$4,$F26))&lt;$E26,0,MAX(0,INT((IF($F26="",P$4,MIN(P$4,$F26))-$E26)/7)+1-MAX(0,ROUNDUP((P$3-$E26)/7,0)))),IF($G26=101,(AND(EOMONTH(P$3,0)&gt;=MAX(P$3,$E26),EOMONTH(P$3,0)&lt;=IF($F26="",P$4,MIN(P$4,$F26)))*1+AND(EOMONTH(P$4,0)&lt;&gt;EOMONTH(P$3,0),EOMONTH(P$4,0)&gt;=MAX(P$3,$E26),EOMONTH(P$4,0)&lt;=IF($F26="",P$4,MIN(P$4,$F26)))*1),IF($G26=102,(AND(WORKDAY(EOMONTH(P$3,0)+1,-3)&gt;=MAX(P$3,$E26),WORKDAY(EOMONTH(P$3,0)+1,-3)&lt;=IF($F26="",P$4,MIN(P$4,$F26)))*1+AND(WORKDAY(EOMONTH(P$4,0)+1,-3)&lt;&gt;WORKDAY(EOMONTH(P$3,0)+1,-3),WORKDAY(EOMONTH(P$4,0)+1,-3)&gt;=MAX(P$3,$E26),WORKDAY(EOMONTH(P$4,0)+1,-3)&lt;=IF($F26="",P$4,MIN(P$4,$F26)))*1),IF(AND(IF(EDATE($E26,MAX(0,ROUNDUP(((YEAR(P$3)-YEAR($E26))*12+MONTH(P$3)-MONTH($E26))/$G26,0)*$G26))&lt;P$3,EDATE($E26,MAX(0,ROUNDUP(((YEAR(P$3)-YEAR($E26))*12+MONTH(P$3)-MONTH($E26))/$G26,0)*$G26)+$G26),EDATE($E26,MAX(0,ROUNDUP(((YEAR(P$3)-YEAR($E26))*12+MONTH(P$3)-MONTH($E26))/$G26,0)*$G26)))&gt;=P$3,IF(EDATE($E26,MAX(0,ROUNDUP(((YEAR(P$3)-YEAR($E26))*12+MONTH(P$3)-MONTH($E26))/$G26,0)*$G26))&lt;P$3,EDATE($E26,MAX(0,ROUNDUP(((YEAR(P$3)-YEAR($E26))*12+MONTH(P$3)-MONTH($E26))/$G26,0)*$G26)+$G26),EDATE($E26,MAX(0,ROUNDUP(((YEAR(P$3)-YEAR($E26))*12+MONTH(P$3)-MONTH($E26))/$G26,0)*$G26)))&lt;=IF($F26="",P$4,MIN(P$4,$F26))),1,0)))))</f>
        <v>0</v>
      </c>
      <c r="Q26" s="25" t="n">
        <f aca="false">IF(OR($C26="",$C26=0,$E26="",$B26="",$G26=-2),0,$C26*IF($G26=0,IF(IF($F26="",Q$4,MIN(Q$4,$F26))&lt;$E26,0,MAX(0,INT((IF($F26="",Q$4,MIN(Q$4,$F26))-$E26)/7)+1-MAX(0,ROUNDUP((Q$3-$E26)/7,0)))),IF($G26=101,(AND(EOMONTH(Q$3,0)&gt;=MAX(Q$3,$E26),EOMONTH(Q$3,0)&lt;=IF($F26="",Q$4,MIN(Q$4,$F26)))*1+AND(EOMONTH(Q$4,0)&lt;&gt;EOMONTH(Q$3,0),EOMONTH(Q$4,0)&gt;=MAX(Q$3,$E26),EOMONTH(Q$4,0)&lt;=IF($F26="",Q$4,MIN(Q$4,$F26)))*1),IF($G26=102,(AND(WORKDAY(EOMONTH(Q$3,0)+1,-3)&gt;=MAX(Q$3,$E26),WORKDAY(EOMONTH(Q$3,0)+1,-3)&lt;=IF($F26="",Q$4,MIN(Q$4,$F26)))*1+AND(WORKDAY(EOMONTH(Q$4,0)+1,-3)&lt;&gt;WORKDAY(EOMONTH(Q$3,0)+1,-3),WORKDAY(EOMONTH(Q$4,0)+1,-3)&gt;=MAX(Q$3,$E26),WORKDAY(EOMONTH(Q$4,0)+1,-3)&lt;=IF($F26="",Q$4,MIN(Q$4,$F26)))*1),IF(AND(IF(EDATE($E26,MAX(0,ROUNDUP(((YEAR(Q$3)-YEAR($E26))*12+MONTH(Q$3)-MONTH($E26))/$G26,0)*$G26))&lt;Q$3,EDATE($E26,MAX(0,ROUNDUP(((YEAR(Q$3)-YEAR($E26))*12+MONTH(Q$3)-MONTH($E26))/$G26,0)*$G26)+$G26),EDATE($E26,MAX(0,ROUNDUP(((YEAR(Q$3)-YEAR($E26))*12+MONTH(Q$3)-MONTH($E26))/$G26,0)*$G26)))&gt;=Q$3,IF(EDATE($E26,MAX(0,ROUNDUP(((YEAR(Q$3)-YEAR($E26))*12+MONTH(Q$3)-MONTH($E26))/$G26,0)*$G26))&lt;Q$3,EDATE($E26,MAX(0,ROUNDUP(((YEAR(Q$3)-YEAR($E26))*12+MONTH(Q$3)-MONTH($E26))/$G26,0)*$G26)+$G26),EDATE($E26,MAX(0,ROUNDUP(((YEAR(Q$3)-YEAR($E26))*12+MONTH(Q$3)-MONTH($E26))/$G26,0)*$G26)))&lt;=IF($F26="",Q$4,MIN(Q$4,$F26))),1,0)))))</f>
        <v>0</v>
      </c>
      <c r="R26" s="25" t="n">
        <f aca="false">IF(OR($C26="",$C26=0,$E26="",$B26="",$G26=-2),0,$C26*IF($G26=0,IF(IF($F26="",R$4,MIN(R$4,$F26))&lt;$E26,0,MAX(0,INT((IF($F26="",R$4,MIN(R$4,$F26))-$E26)/7)+1-MAX(0,ROUNDUP((R$3-$E26)/7,0)))),IF($G26=101,(AND(EOMONTH(R$3,0)&gt;=MAX(R$3,$E26),EOMONTH(R$3,0)&lt;=IF($F26="",R$4,MIN(R$4,$F26)))*1+AND(EOMONTH(R$4,0)&lt;&gt;EOMONTH(R$3,0),EOMONTH(R$4,0)&gt;=MAX(R$3,$E26),EOMONTH(R$4,0)&lt;=IF($F26="",R$4,MIN(R$4,$F26)))*1),IF($G26=102,(AND(WORKDAY(EOMONTH(R$3,0)+1,-3)&gt;=MAX(R$3,$E26),WORKDAY(EOMONTH(R$3,0)+1,-3)&lt;=IF($F26="",R$4,MIN(R$4,$F26)))*1+AND(WORKDAY(EOMONTH(R$4,0)+1,-3)&lt;&gt;WORKDAY(EOMONTH(R$3,0)+1,-3),WORKDAY(EOMONTH(R$4,0)+1,-3)&gt;=MAX(R$3,$E26),WORKDAY(EOMONTH(R$4,0)+1,-3)&lt;=IF($F26="",R$4,MIN(R$4,$F26)))*1),IF(AND(IF(EDATE($E26,MAX(0,ROUNDUP(((YEAR(R$3)-YEAR($E26))*12+MONTH(R$3)-MONTH($E26))/$G26,0)*$G26))&lt;R$3,EDATE($E26,MAX(0,ROUNDUP(((YEAR(R$3)-YEAR($E26))*12+MONTH(R$3)-MONTH($E26))/$G26,0)*$G26)+$G26),EDATE($E26,MAX(0,ROUNDUP(((YEAR(R$3)-YEAR($E26))*12+MONTH(R$3)-MONTH($E26))/$G26,0)*$G26)))&gt;=R$3,IF(EDATE($E26,MAX(0,ROUNDUP(((YEAR(R$3)-YEAR($E26))*12+MONTH(R$3)-MONTH($E26))/$G26,0)*$G26))&lt;R$3,EDATE($E26,MAX(0,ROUNDUP(((YEAR(R$3)-YEAR($E26))*12+MONTH(R$3)-MONTH($E26))/$G26,0)*$G26)+$G26),EDATE($E26,MAX(0,ROUNDUP(((YEAR(R$3)-YEAR($E26))*12+MONTH(R$3)-MONTH($E26))/$G26,0)*$G26)))&lt;=IF($F26="",R$4,MIN(R$4,$F26))),1,0)))))</f>
        <v>0</v>
      </c>
      <c r="S26" s="25" t="n">
        <f aca="false">IF(OR($C26="",$C26=0,$E26="",$B26="",$G26=-2),0,$C26*IF($G26=0,IF(IF($F26="",S$4,MIN(S$4,$F26))&lt;$E26,0,MAX(0,INT((IF($F26="",S$4,MIN(S$4,$F26))-$E26)/7)+1-MAX(0,ROUNDUP((S$3-$E26)/7,0)))),IF($G26=101,(AND(EOMONTH(S$3,0)&gt;=MAX(S$3,$E26),EOMONTH(S$3,0)&lt;=IF($F26="",S$4,MIN(S$4,$F26)))*1+AND(EOMONTH(S$4,0)&lt;&gt;EOMONTH(S$3,0),EOMONTH(S$4,0)&gt;=MAX(S$3,$E26),EOMONTH(S$4,0)&lt;=IF($F26="",S$4,MIN(S$4,$F26)))*1),IF($G26=102,(AND(WORKDAY(EOMONTH(S$3,0)+1,-3)&gt;=MAX(S$3,$E26),WORKDAY(EOMONTH(S$3,0)+1,-3)&lt;=IF($F26="",S$4,MIN(S$4,$F26)))*1+AND(WORKDAY(EOMONTH(S$4,0)+1,-3)&lt;&gt;WORKDAY(EOMONTH(S$3,0)+1,-3),WORKDAY(EOMONTH(S$4,0)+1,-3)&gt;=MAX(S$3,$E26),WORKDAY(EOMONTH(S$4,0)+1,-3)&lt;=IF($F26="",S$4,MIN(S$4,$F26)))*1),IF(AND(IF(EDATE($E26,MAX(0,ROUNDUP(((YEAR(S$3)-YEAR($E26))*12+MONTH(S$3)-MONTH($E26))/$G26,0)*$G26))&lt;S$3,EDATE($E26,MAX(0,ROUNDUP(((YEAR(S$3)-YEAR($E26))*12+MONTH(S$3)-MONTH($E26))/$G26,0)*$G26)+$G26),EDATE($E26,MAX(0,ROUNDUP(((YEAR(S$3)-YEAR($E26))*12+MONTH(S$3)-MONTH($E26))/$G26,0)*$G26)))&gt;=S$3,IF(EDATE($E26,MAX(0,ROUNDUP(((YEAR(S$3)-YEAR($E26))*12+MONTH(S$3)-MONTH($E26))/$G26,0)*$G26))&lt;S$3,EDATE($E26,MAX(0,ROUNDUP(((YEAR(S$3)-YEAR($E26))*12+MONTH(S$3)-MONTH($E26))/$G26,0)*$G26)+$G26),EDATE($E26,MAX(0,ROUNDUP(((YEAR(S$3)-YEAR($E26))*12+MONTH(S$3)-MONTH($E26))/$G26,0)*$G26)))&lt;=IF($F26="",S$4,MIN(S$4,$F26))),1,0)))))</f>
        <v>0</v>
      </c>
      <c r="T26" s="25" t="n">
        <f aca="false">IF(OR($C26="",$C26=0,$E26="",$B26="",$G26=-2),0,$C26*IF($G26=0,IF(IF($F26="",T$4,MIN(T$4,$F26))&lt;$E26,0,MAX(0,INT((IF($F26="",T$4,MIN(T$4,$F26))-$E26)/7)+1-MAX(0,ROUNDUP((T$3-$E26)/7,0)))),IF($G26=101,(AND(EOMONTH(T$3,0)&gt;=MAX(T$3,$E26),EOMONTH(T$3,0)&lt;=IF($F26="",T$4,MIN(T$4,$F26)))*1+AND(EOMONTH(T$4,0)&lt;&gt;EOMONTH(T$3,0),EOMONTH(T$4,0)&gt;=MAX(T$3,$E26),EOMONTH(T$4,0)&lt;=IF($F26="",T$4,MIN(T$4,$F26)))*1),IF($G26=102,(AND(WORKDAY(EOMONTH(T$3,0)+1,-3)&gt;=MAX(T$3,$E26),WORKDAY(EOMONTH(T$3,0)+1,-3)&lt;=IF($F26="",T$4,MIN(T$4,$F26)))*1+AND(WORKDAY(EOMONTH(T$4,0)+1,-3)&lt;&gt;WORKDAY(EOMONTH(T$3,0)+1,-3),WORKDAY(EOMONTH(T$4,0)+1,-3)&gt;=MAX(T$3,$E26),WORKDAY(EOMONTH(T$4,0)+1,-3)&lt;=IF($F26="",T$4,MIN(T$4,$F26)))*1),IF(AND(IF(EDATE($E26,MAX(0,ROUNDUP(((YEAR(T$3)-YEAR($E26))*12+MONTH(T$3)-MONTH($E26))/$G26,0)*$G26))&lt;T$3,EDATE($E26,MAX(0,ROUNDUP(((YEAR(T$3)-YEAR($E26))*12+MONTH(T$3)-MONTH($E26))/$G26,0)*$G26)+$G26),EDATE($E26,MAX(0,ROUNDUP(((YEAR(T$3)-YEAR($E26))*12+MONTH(T$3)-MONTH($E26))/$G26,0)*$G26)))&gt;=T$3,IF(EDATE($E26,MAX(0,ROUNDUP(((YEAR(T$3)-YEAR($E26))*12+MONTH(T$3)-MONTH($E26))/$G26,0)*$G26))&lt;T$3,EDATE($E26,MAX(0,ROUNDUP(((YEAR(T$3)-YEAR($E26))*12+MONTH(T$3)-MONTH($E26))/$G26,0)*$G26)+$G26),EDATE($E26,MAX(0,ROUNDUP(((YEAR(T$3)-YEAR($E26))*12+MONTH(T$3)-MONTH($E26))/$G26,0)*$G26)))&lt;=IF($F26="",T$4,MIN(T$4,$F26))),1,0)))))</f>
        <v>0</v>
      </c>
      <c r="U26" s="25" t="n">
        <f aca="false">IF(OR($C26="",$C26=0,$E26="",$B26="",$G26=-2),0,$C26*IF($G26=0,IF(IF($F26="",U$4,MIN(U$4,$F26))&lt;$E26,0,MAX(0,INT((IF($F26="",U$4,MIN(U$4,$F26))-$E26)/7)+1-MAX(0,ROUNDUP((U$3-$E26)/7,0)))),IF($G26=101,(AND(EOMONTH(U$3,0)&gt;=MAX(U$3,$E26),EOMONTH(U$3,0)&lt;=IF($F26="",U$4,MIN(U$4,$F26)))*1+AND(EOMONTH(U$4,0)&lt;&gt;EOMONTH(U$3,0),EOMONTH(U$4,0)&gt;=MAX(U$3,$E26),EOMONTH(U$4,0)&lt;=IF($F26="",U$4,MIN(U$4,$F26)))*1),IF($G26=102,(AND(WORKDAY(EOMONTH(U$3,0)+1,-3)&gt;=MAX(U$3,$E26),WORKDAY(EOMONTH(U$3,0)+1,-3)&lt;=IF($F26="",U$4,MIN(U$4,$F26)))*1+AND(WORKDAY(EOMONTH(U$4,0)+1,-3)&lt;&gt;WORKDAY(EOMONTH(U$3,0)+1,-3),WORKDAY(EOMONTH(U$4,0)+1,-3)&gt;=MAX(U$3,$E26),WORKDAY(EOMONTH(U$4,0)+1,-3)&lt;=IF($F26="",U$4,MIN(U$4,$F26)))*1),IF(AND(IF(EDATE($E26,MAX(0,ROUNDUP(((YEAR(U$3)-YEAR($E26))*12+MONTH(U$3)-MONTH($E26))/$G26,0)*$G26))&lt;U$3,EDATE($E26,MAX(0,ROUNDUP(((YEAR(U$3)-YEAR($E26))*12+MONTH(U$3)-MONTH($E26))/$G26,0)*$G26)+$G26),EDATE($E26,MAX(0,ROUNDUP(((YEAR(U$3)-YEAR($E26))*12+MONTH(U$3)-MONTH($E26))/$G26,0)*$G26)))&gt;=U$3,IF(EDATE($E26,MAX(0,ROUNDUP(((YEAR(U$3)-YEAR($E26))*12+MONTH(U$3)-MONTH($E26))/$G26,0)*$G26))&lt;U$3,EDATE($E26,MAX(0,ROUNDUP(((YEAR(U$3)-YEAR($E26))*12+MONTH(U$3)-MONTH($E26))/$G26,0)*$G26)+$G26),EDATE($E26,MAX(0,ROUNDUP(((YEAR(U$3)-YEAR($E26))*12+MONTH(U$3)-MONTH($E26))/$G26,0)*$G26)))&lt;=IF($F26="",U$4,MIN(U$4,$F26))),1,0)))))</f>
        <v>0</v>
      </c>
      <c r="V26" s="25" t="n">
        <f aca="false">IF(OR($C26="",$C26=0,$E26="",$B26="",$G26=-2),0,$C26*IF($G26=0,IF(IF($F26="",V$4,MIN(V$4,$F26))&lt;$E26,0,MAX(0,INT((IF($F26="",V$4,MIN(V$4,$F26))-$E26)/7)+1-MAX(0,ROUNDUP((V$3-$E26)/7,0)))),IF($G26=101,(AND(EOMONTH(V$3,0)&gt;=MAX(V$3,$E26),EOMONTH(V$3,0)&lt;=IF($F26="",V$4,MIN(V$4,$F26)))*1+AND(EOMONTH(V$4,0)&lt;&gt;EOMONTH(V$3,0),EOMONTH(V$4,0)&gt;=MAX(V$3,$E26),EOMONTH(V$4,0)&lt;=IF($F26="",V$4,MIN(V$4,$F26)))*1),IF($G26=102,(AND(WORKDAY(EOMONTH(V$3,0)+1,-3)&gt;=MAX(V$3,$E26),WORKDAY(EOMONTH(V$3,0)+1,-3)&lt;=IF($F26="",V$4,MIN(V$4,$F26)))*1+AND(WORKDAY(EOMONTH(V$4,0)+1,-3)&lt;&gt;WORKDAY(EOMONTH(V$3,0)+1,-3),WORKDAY(EOMONTH(V$4,0)+1,-3)&gt;=MAX(V$3,$E26),WORKDAY(EOMONTH(V$4,0)+1,-3)&lt;=IF($F26="",V$4,MIN(V$4,$F26)))*1),IF(AND(IF(EDATE($E26,MAX(0,ROUNDUP(((YEAR(V$3)-YEAR($E26))*12+MONTH(V$3)-MONTH($E26))/$G26,0)*$G26))&lt;V$3,EDATE($E26,MAX(0,ROUNDUP(((YEAR(V$3)-YEAR($E26))*12+MONTH(V$3)-MONTH($E26))/$G26,0)*$G26)+$G26),EDATE($E26,MAX(0,ROUNDUP(((YEAR(V$3)-YEAR($E26))*12+MONTH(V$3)-MONTH($E26))/$G26,0)*$G26)))&gt;=V$3,IF(EDATE($E26,MAX(0,ROUNDUP(((YEAR(V$3)-YEAR($E26))*12+MONTH(V$3)-MONTH($E26))/$G26,0)*$G26))&lt;V$3,EDATE($E26,MAX(0,ROUNDUP(((YEAR(V$3)-YEAR($E26))*12+MONTH(V$3)-MONTH($E26))/$G26,0)*$G26)+$G26),EDATE($E26,MAX(0,ROUNDUP(((YEAR(V$3)-YEAR($E26))*12+MONTH(V$3)-MONTH($E26))/$G26,0)*$G26)))&lt;=IF($F26="",V$4,MIN(V$4,$F26))),1,0)))))</f>
        <v>0</v>
      </c>
      <c r="W26" s="25" t="n">
        <f aca="false">IF(OR($C26="",$C26=0,$E26="",$B26="",$G26=-2),0,$C26*IF($G26=0,IF(IF($F26="",W$4,MIN(W$4,$F26))&lt;$E26,0,MAX(0,INT((IF($F26="",W$4,MIN(W$4,$F26))-$E26)/7)+1-MAX(0,ROUNDUP((W$3-$E26)/7,0)))),IF($G26=101,(AND(EOMONTH(W$3,0)&gt;=MAX(W$3,$E26),EOMONTH(W$3,0)&lt;=IF($F26="",W$4,MIN(W$4,$F26)))*1+AND(EOMONTH(W$4,0)&lt;&gt;EOMONTH(W$3,0),EOMONTH(W$4,0)&gt;=MAX(W$3,$E26),EOMONTH(W$4,0)&lt;=IF($F26="",W$4,MIN(W$4,$F26)))*1),IF($G26=102,(AND(WORKDAY(EOMONTH(W$3,0)+1,-3)&gt;=MAX(W$3,$E26),WORKDAY(EOMONTH(W$3,0)+1,-3)&lt;=IF($F26="",W$4,MIN(W$4,$F26)))*1+AND(WORKDAY(EOMONTH(W$4,0)+1,-3)&lt;&gt;WORKDAY(EOMONTH(W$3,0)+1,-3),WORKDAY(EOMONTH(W$4,0)+1,-3)&gt;=MAX(W$3,$E26),WORKDAY(EOMONTH(W$4,0)+1,-3)&lt;=IF($F26="",W$4,MIN(W$4,$F26)))*1),IF(AND(IF(EDATE($E26,MAX(0,ROUNDUP(((YEAR(W$3)-YEAR($E26))*12+MONTH(W$3)-MONTH($E26))/$G26,0)*$G26))&lt;W$3,EDATE($E26,MAX(0,ROUNDUP(((YEAR(W$3)-YEAR($E26))*12+MONTH(W$3)-MONTH($E26))/$G26,0)*$G26)+$G26),EDATE($E26,MAX(0,ROUNDUP(((YEAR(W$3)-YEAR($E26))*12+MONTH(W$3)-MONTH($E26))/$G26,0)*$G26)))&gt;=W$3,IF(EDATE($E26,MAX(0,ROUNDUP(((YEAR(W$3)-YEAR($E26))*12+MONTH(W$3)-MONTH($E26))/$G26,0)*$G26))&lt;W$3,EDATE($E26,MAX(0,ROUNDUP(((YEAR(W$3)-YEAR($E26))*12+MONTH(W$3)-MONTH($E26))/$G26,0)*$G26)+$G26),EDATE($E26,MAX(0,ROUNDUP(((YEAR(W$3)-YEAR($E26))*12+MONTH(W$3)-MONTH($E26))/$G26,0)*$G26)))&lt;=IF($F26="",W$4,MIN(W$4,$F26))),1,0)))))</f>
        <v>0</v>
      </c>
      <c r="X26" s="25" t="n">
        <f aca="false">IF(OR($C26="",$C26=0,$E26="",$B26="",$G26=-2),0,$C26*IF($G26=0,IF(IF($F26="",X$4,MIN(X$4,$F26))&lt;$E26,0,MAX(0,INT((IF($F26="",X$4,MIN(X$4,$F26))-$E26)/7)+1-MAX(0,ROUNDUP((X$3-$E26)/7,0)))),IF($G26=101,(AND(EOMONTH(X$3,0)&gt;=MAX(X$3,$E26),EOMONTH(X$3,0)&lt;=IF($F26="",X$4,MIN(X$4,$F26)))*1+AND(EOMONTH(X$4,0)&lt;&gt;EOMONTH(X$3,0),EOMONTH(X$4,0)&gt;=MAX(X$3,$E26),EOMONTH(X$4,0)&lt;=IF($F26="",X$4,MIN(X$4,$F26)))*1),IF($G26=102,(AND(WORKDAY(EOMONTH(X$3,0)+1,-3)&gt;=MAX(X$3,$E26),WORKDAY(EOMONTH(X$3,0)+1,-3)&lt;=IF($F26="",X$4,MIN(X$4,$F26)))*1+AND(WORKDAY(EOMONTH(X$4,0)+1,-3)&lt;&gt;WORKDAY(EOMONTH(X$3,0)+1,-3),WORKDAY(EOMONTH(X$4,0)+1,-3)&gt;=MAX(X$3,$E26),WORKDAY(EOMONTH(X$4,0)+1,-3)&lt;=IF($F26="",X$4,MIN(X$4,$F26)))*1),IF(AND(IF(EDATE($E26,MAX(0,ROUNDUP(((YEAR(X$3)-YEAR($E26))*12+MONTH(X$3)-MONTH($E26))/$G26,0)*$G26))&lt;X$3,EDATE($E26,MAX(0,ROUNDUP(((YEAR(X$3)-YEAR($E26))*12+MONTH(X$3)-MONTH($E26))/$G26,0)*$G26)+$G26),EDATE($E26,MAX(0,ROUNDUP(((YEAR(X$3)-YEAR($E26))*12+MONTH(X$3)-MONTH($E26))/$G26,0)*$G26)))&gt;=X$3,IF(EDATE($E26,MAX(0,ROUNDUP(((YEAR(X$3)-YEAR($E26))*12+MONTH(X$3)-MONTH($E26))/$G26,0)*$G26))&lt;X$3,EDATE($E26,MAX(0,ROUNDUP(((YEAR(X$3)-YEAR($E26))*12+MONTH(X$3)-MONTH($E26))/$G26,0)*$G26)+$G26),EDATE($E26,MAX(0,ROUNDUP(((YEAR(X$3)-YEAR($E26))*12+MONTH(X$3)-MONTH($E26))/$G26,0)*$G26)))&lt;=IF($F26="",X$4,MIN(X$4,$F26))),1,0)))))</f>
        <v>0</v>
      </c>
      <c r="Y26" s="25" t="n">
        <f aca="false">IF(OR($C26="",$C26=0,$E26="",$B26="",$G26=-2),0,$C26*IF($G26=0,IF(IF($F26="",Y$4,MIN(Y$4,$F26))&lt;$E26,0,MAX(0,INT((IF($F26="",Y$4,MIN(Y$4,$F26))-$E26)/7)+1-MAX(0,ROUNDUP((Y$3-$E26)/7,0)))),IF($G26=101,(AND(EOMONTH(Y$3,0)&gt;=MAX(Y$3,$E26),EOMONTH(Y$3,0)&lt;=IF($F26="",Y$4,MIN(Y$4,$F26)))*1+AND(EOMONTH(Y$4,0)&lt;&gt;EOMONTH(Y$3,0),EOMONTH(Y$4,0)&gt;=MAX(Y$3,$E26),EOMONTH(Y$4,0)&lt;=IF($F26="",Y$4,MIN(Y$4,$F26)))*1),IF($G26=102,(AND(WORKDAY(EOMONTH(Y$3,0)+1,-3)&gt;=MAX(Y$3,$E26),WORKDAY(EOMONTH(Y$3,0)+1,-3)&lt;=IF($F26="",Y$4,MIN(Y$4,$F26)))*1+AND(WORKDAY(EOMONTH(Y$4,0)+1,-3)&lt;&gt;WORKDAY(EOMONTH(Y$3,0)+1,-3),WORKDAY(EOMONTH(Y$4,0)+1,-3)&gt;=MAX(Y$3,$E26),WORKDAY(EOMONTH(Y$4,0)+1,-3)&lt;=IF($F26="",Y$4,MIN(Y$4,$F26)))*1),IF(AND(IF(EDATE($E26,MAX(0,ROUNDUP(((YEAR(Y$3)-YEAR($E26))*12+MONTH(Y$3)-MONTH($E26))/$G26,0)*$G26))&lt;Y$3,EDATE($E26,MAX(0,ROUNDUP(((YEAR(Y$3)-YEAR($E26))*12+MONTH(Y$3)-MONTH($E26))/$G26,0)*$G26)+$G26),EDATE($E26,MAX(0,ROUNDUP(((YEAR(Y$3)-YEAR($E26))*12+MONTH(Y$3)-MONTH($E26))/$G26,0)*$G26)))&gt;=Y$3,IF(EDATE($E26,MAX(0,ROUNDUP(((YEAR(Y$3)-YEAR($E26))*12+MONTH(Y$3)-MONTH($E26))/$G26,0)*$G26))&lt;Y$3,EDATE($E26,MAX(0,ROUNDUP(((YEAR(Y$3)-YEAR($E26))*12+MONTH(Y$3)-MONTH($E26))/$G26,0)*$G26)+$G26),EDATE($E26,MAX(0,ROUNDUP(((YEAR(Y$3)-YEAR($E26))*12+MONTH(Y$3)-MONTH($E26))/$G26,0)*$G26)))&lt;=IF($F26="",Y$4,MIN(Y$4,$F26))),1,0)))))</f>
        <v>0</v>
      </c>
      <c r="Z26" s="25" t="n">
        <f aca="false">IF(OR($C26="",$C26=0,$E26="",$B26="",$G26=-2),0,$C26*IF($G26=0,IF(IF($F26="",Z$4,MIN(Z$4,$F26))&lt;$E26,0,MAX(0,INT((IF($F26="",Z$4,MIN(Z$4,$F26))-$E26)/7)+1-MAX(0,ROUNDUP((Z$3-$E26)/7,0)))),IF($G26=101,(AND(EOMONTH(Z$3,0)&gt;=MAX(Z$3,$E26),EOMONTH(Z$3,0)&lt;=IF($F26="",Z$4,MIN(Z$4,$F26)))*1+AND(EOMONTH(Z$4,0)&lt;&gt;EOMONTH(Z$3,0),EOMONTH(Z$4,0)&gt;=MAX(Z$3,$E26),EOMONTH(Z$4,0)&lt;=IF($F26="",Z$4,MIN(Z$4,$F26)))*1),IF($G26=102,(AND(WORKDAY(EOMONTH(Z$3,0)+1,-3)&gt;=MAX(Z$3,$E26),WORKDAY(EOMONTH(Z$3,0)+1,-3)&lt;=IF($F26="",Z$4,MIN(Z$4,$F26)))*1+AND(WORKDAY(EOMONTH(Z$4,0)+1,-3)&lt;&gt;WORKDAY(EOMONTH(Z$3,0)+1,-3),WORKDAY(EOMONTH(Z$4,0)+1,-3)&gt;=MAX(Z$3,$E26),WORKDAY(EOMONTH(Z$4,0)+1,-3)&lt;=IF($F26="",Z$4,MIN(Z$4,$F26)))*1),IF(AND(IF(EDATE($E26,MAX(0,ROUNDUP(((YEAR(Z$3)-YEAR($E26))*12+MONTH(Z$3)-MONTH($E26))/$G26,0)*$G26))&lt;Z$3,EDATE($E26,MAX(0,ROUNDUP(((YEAR(Z$3)-YEAR($E26))*12+MONTH(Z$3)-MONTH($E26))/$G26,0)*$G26)+$G26),EDATE($E26,MAX(0,ROUNDUP(((YEAR(Z$3)-YEAR($E26))*12+MONTH(Z$3)-MONTH($E26))/$G26,0)*$G26)))&gt;=Z$3,IF(EDATE($E26,MAX(0,ROUNDUP(((YEAR(Z$3)-YEAR($E26))*12+MONTH(Z$3)-MONTH($E26))/$G26,0)*$G26))&lt;Z$3,EDATE($E26,MAX(0,ROUNDUP(((YEAR(Z$3)-YEAR($E26))*12+MONTH(Z$3)-MONTH($E26))/$G26,0)*$G26)+$G26),EDATE($E26,MAX(0,ROUNDUP(((YEAR(Z$3)-YEAR($E26))*12+MONTH(Z$3)-MONTH($E26))/$G26,0)*$G26)))&lt;=IF($F26="",Z$4,MIN(Z$4,$F26))),1,0)))))</f>
        <v>0</v>
      </c>
      <c r="AA26" s="25" t="n">
        <f aca="false">IF(OR($C26="",$C26=0,$E26="",$B26="",$G26=-2),0,$C26*IF($G26=0,IF(IF($F26="",AA$4,MIN(AA$4,$F26))&lt;$E26,0,MAX(0,INT((IF($F26="",AA$4,MIN(AA$4,$F26))-$E26)/7)+1-MAX(0,ROUNDUP((AA$3-$E26)/7,0)))),IF($G26=101,(AND(EOMONTH(AA$3,0)&gt;=MAX(AA$3,$E26),EOMONTH(AA$3,0)&lt;=IF($F26="",AA$4,MIN(AA$4,$F26)))*1+AND(EOMONTH(AA$4,0)&lt;&gt;EOMONTH(AA$3,0),EOMONTH(AA$4,0)&gt;=MAX(AA$3,$E26),EOMONTH(AA$4,0)&lt;=IF($F26="",AA$4,MIN(AA$4,$F26)))*1),IF($G26=102,(AND(WORKDAY(EOMONTH(AA$3,0)+1,-3)&gt;=MAX(AA$3,$E26),WORKDAY(EOMONTH(AA$3,0)+1,-3)&lt;=IF($F26="",AA$4,MIN(AA$4,$F26)))*1+AND(WORKDAY(EOMONTH(AA$4,0)+1,-3)&lt;&gt;WORKDAY(EOMONTH(AA$3,0)+1,-3),WORKDAY(EOMONTH(AA$4,0)+1,-3)&gt;=MAX(AA$3,$E26),WORKDAY(EOMONTH(AA$4,0)+1,-3)&lt;=IF($F26="",AA$4,MIN(AA$4,$F26)))*1),IF(AND(IF(EDATE($E26,MAX(0,ROUNDUP(((YEAR(AA$3)-YEAR($E26))*12+MONTH(AA$3)-MONTH($E26))/$G26,0)*$G26))&lt;AA$3,EDATE($E26,MAX(0,ROUNDUP(((YEAR(AA$3)-YEAR($E26))*12+MONTH(AA$3)-MONTH($E26))/$G26,0)*$G26)+$G26),EDATE($E26,MAX(0,ROUNDUP(((YEAR(AA$3)-YEAR($E26))*12+MONTH(AA$3)-MONTH($E26))/$G26,0)*$G26)))&gt;=AA$3,IF(EDATE($E26,MAX(0,ROUNDUP(((YEAR(AA$3)-YEAR($E26))*12+MONTH(AA$3)-MONTH($E26))/$G26,0)*$G26))&lt;AA$3,EDATE($E26,MAX(0,ROUNDUP(((YEAR(AA$3)-YEAR($E26))*12+MONTH(AA$3)-MONTH($E26))/$G26,0)*$G26)+$G26),EDATE($E26,MAX(0,ROUNDUP(((YEAR(AA$3)-YEAR($E26))*12+MONTH(AA$3)-MONTH($E26))/$G26,0)*$G26)))&lt;=IF($F26="",AA$4,MIN(AA$4,$F26))),1,0)))))</f>
        <v>0</v>
      </c>
      <c r="AB26" s="25" t="n">
        <f aca="false">IF(OR($C26="",$C26=0,$E26="",$B26="",$G26=-2),0,$C26*IF($G26=0,IF(IF($F26="",AB$4,MIN(AB$4,$F26))&lt;$E26,0,MAX(0,INT((IF($F26="",AB$4,MIN(AB$4,$F26))-$E26)/7)+1-MAX(0,ROUNDUP((AB$3-$E26)/7,0)))),IF($G26=101,(AND(EOMONTH(AB$3,0)&gt;=MAX(AB$3,$E26),EOMONTH(AB$3,0)&lt;=IF($F26="",AB$4,MIN(AB$4,$F26)))*1+AND(EOMONTH(AB$4,0)&lt;&gt;EOMONTH(AB$3,0),EOMONTH(AB$4,0)&gt;=MAX(AB$3,$E26),EOMONTH(AB$4,0)&lt;=IF($F26="",AB$4,MIN(AB$4,$F26)))*1),IF($G26=102,(AND(WORKDAY(EOMONTH(AB$3,0)+1,-3)&gt;=MAX(AB$3,$E26),WORKDAY(EOMONTH(AB$3,0)+1,-3)&lt;=IF($F26="",AB$4,MIN(AB$4,$F26)))*1+AND(WORKDAY(EOMONTH(AB$4,0)+1,-3)&lt;&gt;WORKDAY(EOMONTH(AB$3,0)+1,-3),WORKDAY(EOMONTH(AB$4,0)+1,-3)&gt;=MAX(AB$3,$E26),WORKDAY(EOMONTH(AB$4,0)+1,-3)&lt;=IF($F26="",AB$4,MIN(AB$4,$F26)))*1),IF(AND(IF(EDATE($E26,MAX(0,ROUNDUP(((YEAR(AB$3)-YEAR($E26))*12+MONTH(AB$3)-MONTH($E26))/$G26,0)*$G26))&lt;AB$3,EDATE($E26,MAX(0,ROUNDUP(((YEAR(AB$3)-YEAR($E26))*12+MONTH(AB$3)-MONTH($E26))/$G26,0)*$G26)+$G26),EDATE($E26,MAX(0,ROUNDUP(((YEAR(AB$3)-YEAR($E26))*12+MONTH(AB$3)-MONTH($E26))/$G26,0)*$G26)))&gt;=AB$3,IF(EDATE($E26,MAX(0,ROUNDUP(((YEAR(AB$3)-YEAR($E26))*12+MONTH(AB$3)-MONTH($E26))/$G26,0)*$G26))&lt;AB$3,EDATE($E26,MAX(0,ROUNDUP(((YEAR(AB$3)-YEAR($E26))*12+MONTH(AB$3)-MONTH($E26))/$G26,0)*$G26)+$G26),EDATE($E26,MAX(0,ROUNDUP(((YEAR(AB$3)-YEAR($E26))*12+MONTH(AB$3)-MONTH($E26))/$G26,0)*$G26)))&lt;=IF($F26="",AB$4,MIN(AB$4,$F26))),1,0)))))</f>
        <v>0</v>
      </c>
      <c r="AC26" s="25" t="n">
        <f aca="false">IF(OR($C26="",$C26=0,$E26="",$B26="",$G26=-2),0,$C26*IF($G26=0,IF(IF($F26="",AC$4,MIN(AC$4,$F26))&lt;$E26,0,MAX(0,INT((IF($F26="",AC$4,MIN(AC$4,$F26))-$E26)/7)+1-MAX(0,ROUNDUP((AC$3-$E26)/7,0)))),IF($G26=101,(AND(EOMONTH(AC$3,0)&gt;=MAX(AC$3,$E26),EOMONTH(AC$3,0)&lt;=IF($F26="",AC$4,MIN(AC$4,$F26)))*1+AND(EOMONTH(AC$4,0)&lt;&gt;EOMONTH(AC$3,0),EOMONTH(AC$4,0)&gt;=MAX(AC$3,$E26),EOMONTH(AC$4,0)&lt;=IF($F26="",AC$4,MIN(AC$4,$F26)))*1),IF($G26=102,(AND(WORKDAY(EOMONTH(AC$3,0)+1,-3)&gt;=MAX(AC$3,$E26),WORKDAY(EOMONTH(AC$3,0)+1,-3)&lt;=IF($F26="",AC$4,MIN(AC$4,$F26)))*1+AND(WORKDAY(EOMONTH(AC$4,0)+1,-3)&lt;&gt;WORKDAY(EOMONTH(AC$3,0)+1,-3),WORKDAY(EOMONTH(AC$4,0)+1,-3)&gt;=MAX(AC$3,$E26),WORKDAY(EOMONTH(AC$4,0)+1,-3)&lt;=IF($F26="",AC$4,MIN(AC$4,$F26)))*1),IF(AND(IF(EDATE($E26,MAX(0,ROUNDUP(((YEAR(AC$3)-YEAR($E26))*12+MONTH(AC$3)-MONTH($E26))/$G26,0)*$G26))&lt;AC$3,EDATE($E26,MAX(0,ROUNDUP(((YEAR(AC$3)-YEAR($E26))*12+MONTH(AC$3)-MONTH($E26))/$G26,0)*$G26)+$G26),EDATE($E26,MAX(0,ROUNDUP(((YEAR(AC$3)-YEAR($E26))*12+MONTH(AC$3)-MONTH($E26))/$G26,0)*$G26)))&gt;=AC$3,IF(EDATE($E26,MAX(0,ROUNDUP(((YEAR(AC$3)-YEAR($E26))*12+MONTH(AC$3)-MONTH($E26))/$G26,0)*$G26))&lt;AC$3,EDATE($E26,MAX(0,ROUNDUP(((YEAR(AC$3)-YEAR($E26))*12+MONTH(AC$3)-MONTH($E26))/$G26,0)*$G26)+$G26),EDATE($E26,MAX(0,ROUNDUP(((YEAR(AC$3)-YEAR($E26))*12+MONTH(AC$3)-MONTH($E26))/$G26,0)*$G26)))&lt;=IF($F26="",AC$4,MIN(AC$4,$F26))),1,0)))))</f>
        <v>0</v>
      </c>
      <c r="AD26" s="25" t="n">
        <f aca="false">IF(OR($C26="",$C26=0,$E26="",$B26="",$G26=-2),0,$C26*IF($G26=0,IF(IF($F26="",AD$4,MIN(AD$4,$F26))&lt;$E26,0,MAX(0,INT((IF($F26="",AD$4,MIN(AD$4,$F26))-$E26)/7)+1-MAX(0,ROUNDUP((AD$3-$E26)/7,0)))),IF($G26=101,(AND(EOMONTH(AD$3,0)&gt;=MAX(AD$3,$E26),EOMONTH(AD$3,0)&lt;=IF($F26="",AD$4,MIN(AD$4,$F26)))*1+AND(EOMONTH(AD$4,0)&lt;&gt;EOMONTH(AD$3,0),EOMONTH(AD$4,0)&gt;=MAX(AD$3,$E26),EOMONTH(AD$4,0)&lt;=IF($F26="",AD$4,MIN(AD$4,$F26)))*1),IF($G26=102,(AND(WORKDAY(EOMONTH(AD$3,0)+1,-3)&gt;=MAX(AD$3,$E26),WORKDAY(EOMONTH(AD$3,0)+1,-3)&lt;=IF($F26="",AD$4,MIN(AD$4,$F26)))*1+AND(WORKDAY(EOMONTH(AD$4,0)+1,-3)&lt;&gt;WORKDAY(EOMONTH(AD$3,0)+1,-3),WORKDAY(EOMONTH(AD$4,0)+1,-3)&gt;=MAX(AD$3,$E26),WORKDAY(EOMONTH(AD$4,0)+1,-3)&lt;=IF($F26="",AD$4,MIN(AD$4,$F26)))*1),IF(AND(IF(EDATE($E26,MAX(0,ROUNDUP(((YEAR(AD$3)-YEAR($E26))*12+MONTH(AD$3)-MONTH($E26))/$G26,0)*$G26))&lt;AD$3,EDATE($E26,MAX(0,ROUNDUP(((YEAR(AD$3)-YEAR($E26))*12+MONTH(AD$3)-MONTH($E26))/$G26,0)*$G26)+$G26),EDATE($E26,MAX(0,ROUNDUP(((YEAR(AD$3)-YEAR($E26))*12+MONTH(AD$3)-MONTH($E26))/$G26,0)*$G26)))&gt;=AD$3,IF(EDATE($E26,MAX(0,ROUNDUP(((YEAR(AD$3)-YEAR($E26))*12+MONTH(AD$3)-MONTH($E26))/$G26,0)*$G26))&lt;AD$3,EDATE($E26,MAX(0,ROUNDUP(((YEAR(AD$3)-YEAR($E26))*12+MONTH(AD$3)-MONTH($E26))/$G26,0)*$G26)+$G26),EDATE($E26,MAX(0,ROUNDUP(((YEAR(AD$3)-YEAR($E26))*12+MONTH(AD$3)-MONTH($E26))/$G26,0)*$G26)))&lt;=IF($F26="",AD$4,MIN(AD$4,$F26))),1,0)))))</f>
        <v>0</v>
      </c>
      <c r="AE26" s="25" t="n">
        <f aca="false">IF(OR($C26="",$C26=0,$E26="",$B26="",$G26=-2),0,$C26*IF($G26=0,IF(IF($F26="",AE$4,MIN(AE$4,$F26))&lt;$E26,0,MAX(0,INT((IF($F26="",AE$4,MIN(AE$4,$F26))-$E26)/7)+1-MAX(0,ROUNDUP((AE$3-$E26)/7,0)))),IF($G26=101,(AND(EOMONTH(AE$3,0)&gt;=MAX(AE$3,$E26),EOMONTH(AE$3,0)&lt;=IF($F26="",AE$4,MIN(AE$4,$F26)))*1+AND(EOMONTH(AE$4,0)&lt;&gt;EOMONTH(AE$3,0),EOMONTH(AE$4,0)&gt;=MAX(AE$3,$E26),EOMONTH(AE$4,0)&lt;=IF($F26="",AE$4,MIN(AE$4,$F26)))*1),IF($G26=102,(AND(WORKDAY(EOMONTH(AE$3,0)+1,-3)&gt;=MAX(AE$3,$E26),WORKDAY(EOMONTH(AE$3,0)+1,-3)&lt;=IF($F26="",AE$4,MIN(AE$4,$F26)))*1+AND(WORKDAY(EOMONTH(AE$4,0)+1,-3)&lt;&gt;WORKDAY(EOMONTH(AE$3,0)+1,-3),WORKDAY(EOMONTH(AE$4,0)+1,-3)&gt;=MAX(AE$3,$E26),WORKDAY(EOMONTH(AE$4,0)+1,-3)&lt;=IF($F26="",AE$4,MIN(AE$4,$F26)))*1),IF(AND(IF(EDATE($E26,MAX(0,ROUNDUP(((YEAR(AE$3)-YEAR($E26))*12+MONTH(AE$3)-MONTH($E26))/$G26,0)*$G26))&lt;AE$3,EDATE($E26,MAX(0,ROUNDUP(((YEAR(AE$3)-YEAR($E26))*12+MONTH(AE$3)-MONTH($E26))/$G26,0)*$G26)+$G26),EDATE($E26,MAX(0,ROUNDUP(((YEAR(AE$3)-YEAR($E26))*12+MONTH(AE$3)-MONTH($E26))/$G26,0)*$G26)))&gt;=AE$3,IF(EDATE($E26,MAX(0,ROUNDUP(((YEAR(AE$3)-YEAR($E26))*12+MONTH(AE$3)-MONTH($E26))/$G26,0)*$G26))&lt;AE$3,EDATE($E26,MAX(0,ROUNDUP(((YEAR(AE$3)-YEAR($E26))*12+MONTH(AE$3)-MONTH($E26))/$G26,0)*$G26)+$G26),EDATE($E26,MAX(0,ROUNDUP(((YEAR(AE$3)-YEAR($E26))*12+MONTH(AE$3)-MONTH($E26))/$G26,0)*$G26)))&lt;=IF($F26="",AE$4,MIN(AE$4,$F26))),1,0)))))</f>
        <v>0</v>
      </c>
      <c r="AF26" s="25" t="n">
        <f aca="false">IF(OR($C26="",$C26=0,$E26="",$B26="",$G26=-2),0,$C26*IF($G26=0,IF(IF($F26="",AF$4,MIN(AF$4,$F26))&lt;$E26,0,MAX(0,INT((IF($F26="",AF$4,MIN(AF$4,$F26))-$E26)/7)+1-MAX(0,ROUNDUP((AF$3-$E26)/7,0)))),IF($G26=101,(AND(EOMONTH(AF$3,0)&gt;=MAX(AF$3,$E26),EOMONTH(AF$3,0)&lt;=IF($F26="",AF$4,MIN(AF$4,$F26)))*1+AND(EOMONTH(AF$4,0)&lt;&gt;EOMONTH(AF$3,0),EOMONTH(AF$4,0)&gt;=MAX(AF$3,$E26),EOMONTH(AF$4,0)&lt;=IF($F26="",AF$4,MIN(AF$4,$F26)))*1),IF($G26=102,(AND(WORKDAY(EOMONTH(AF$3,0)+1,-3)&gt;=MAX(AF$3,$E26),WORKDAY(EOMONTH(AF$3,0)+1,-3)&lt;=IF($F26="",AF$4,MIN(AF$4,$F26)))*1+AND(WORKDAY(EOMONTH(AF$4,0)+1,-3)&lt;&gt;WORKDAY(EOMONTH(AF$3,0)+1,-3),WORKDAY(EOMONTH(AF$4,0)+1,-3)&gt;=MAX(AF$3,$E26),WORKDAY(EOMONTH(AF$4,0)+1,-3)&lt;=IF($F26="",AF$4,MIN(AF$4,$F26)))*1),IF(AND(IF(EDATE($E26,MAX(0,ROUNDUP(((YEAR(AF$3)-YEAR($E26))*12+MONTH(AF$3)-MONTH($E26))/$G26,0)*$G26))&lt;AF$3,EDATE($E26,MAX(0,ROUNDUP(((YEAR(AF$3)-YEAR($E26))*12+MONTH(AF$3)-MONTH($E26))/$G26,0)*$G26)+$G26),EDATE($E26,MAX(0,ROUNDUP(((YEAR(AF$3)-YEAR($E26))*12+MONTH(AF$3)-MONTH($E26))/$G26,0)*$G26)))&gt;=AF$3,IF(EDATE($E26,MAX(0,ROUNDUP(((YEAR(AF$3)-YEAR($E26))*12+MONTH(AF$3)-MONTH($E26))/$G26,0)*$G26))&lt;AF$3,EDATE($E26,MAX(0,ROUNDUP(((YEAR(AF$3)-YEAR($E26))*12+MONTH(AF$3)-MONTH($E26))/$G26,0)*$G26)+$G26),EDATE($E26,MAX(0,ROUNDUP(((YEAR(AF$3)-YEAR($E26))*12+MONTH(AF$3)-MONTH($E26))/$G26,0)*$G26)))&lt;=IF($F26="",AF$4,MIN(AF$4,$F26))),1,0)))))</f>
        <v>0</v>
      </c>
    </row>
    <row r="27" customFormat="false" ht="15" hidden="false" customHeight="false" outlineLevel="0" collapsed="false">
      <c r="A27" s="5"/>
      <c r="B27" s="5"/>
      <c r="C27" s="8"/>
      <c r="D27" s="5"/>
      <c r="E27" s="7"/>
      <c r="F27" s="7"/>
      <c r="G27" s="24" t="n">
        <f aca="false">IFERROR(INDEX(Listen!$E$2:$E$8,MATCH(D27,Listen!$D$2:$D$8,0)),-2)</f>
        <v>-2</v>
      </c>
      <c r="H27" s="25" t="n">
        <f aca="false">IF(OR($C27="",$C27=0,$E27="",$B27="",$G27=-2),0,$C27*IF($G27=0,IF(IF($F27="",H$4,MIN(H$4,$F27))&lt;$E27,0,MAX(0,INT((IF($F27="",H$4,MIN(H$4,$F27))-$E27)/7)+1-MAX(0,ROUNDUP((H$3-$E27)/7,0)))),IF($G27=101,(AND(EOMONTH(H$3,0)&gt;=MAX(H$3,$E27),EOMONTH(H$3,0)&lt;=IF($F27="",H$4,MIN(H$4,$F27)))*1+AND(EOMONTH(H$4,0)&lt;&gt;EOMONTH(H$3,0),EOMONTH(H$4,0)&gt;=MAX(H$3,$E27),EOMONTH(H$4,0)&lt;=IF($F27="",H$4,MIN(H$4,$F27)))*1),IF($G27=102,(AND(WORKDAY(EOMONTH(H$3,0)+1,-3)&gt;=MAX(H$3,$E27),WORKDAY(EOMONTH(H$3,0)+1,-3)&lt;=IF($F27="",H$4,MIN(H$4,$F27)))*1+AND(WORKDAY(EOMONTH(H$4,0)+1,-3)&lt;&gt;WORKDAY(EOMONTH(H$3,0)+1,-3),WORKDAY(EOMONTH(H$4,0)+1,-3)&gt;=MAX(H$3,$E27),WORKDAY(EOMONTH(H$4,0)+1,-3)&lt;=IF($F27="",H$4,MIN(H$4,$F27)))*1),IF(AND(IF(EDATE($E27,MAX(0,ROUNDUP(((YEAR(H$3)-YEAR($E27))*12+MONTH(H$3)-MONTH($E27))/$G27,0)*$G27))&lt;H$3,EDATE($E27,MAX(0,ROUNDUP(((YEAR(H$3)-YEAR($E27))*12+MONTH(H$3)-MONTH($E27))/$G27,0)*$G27)+$G27),EDATE($E27,MAX(0,ROUNDUP(((YEAR(H$3)-YEAR($E27))*12+MONTH(H$3)-MONTH($E27))/$G27,0)*$G27)))&gt;=H$3,IF(EDATE($E27,MAX(0,ROUNDUP(((YEAR(H$3)-YEAR($E27))*12+MONTH(H$3)-MONTH($E27))/$G27,0)*$G27))&lt;H$3,EDATE($E27,MAX(0,ROUNDUP(((YEAR(H$3)-YEAR($E27))*12+MONTH(H$3)-MONTH($E27))/$G27,0)*$G27)+$G27),EDATE($E27,MAX(0,ROUNDUP(((YEAR(H$3)-YEAR($E27))*12+MONTH(H$3)-MONTH($E27))/$G27,0)*$G27)))&lt;=IF($F27="",H$4,MIN(H$4,$F27))),1,0)))))</f>
        <v>0</v>
      </c>
      <c r="I27" s="25" t="n">
        <f aca="false">IF(OR($C27="",$C27=0,$E27="",$B27="",$G27=-2),0,$C27*IF($G27=0,IF(IF($F27="",I$4,MIN(I$4,$F27))&lt;$E27,0,MAX(0,INT((IF($F27="",I$4,MIN(I$4,$F27))-$E27)/7)+1-MAX(0,ROUNDUP((I$3-$E27)/7,0)))),IF($G27=101,(AND(EOMONTH(I$3,0)&gt;=MAX(I$3,$E27),EOMONTH(I$3,0)&lt;=IF($F27="",I$4,MIN(I$4,$F27)))*1+AND(EOMONTH(I$4,0)&lt;&gt;EOMONTH(I$3,0),EOMONTH(I$4,0)&gt;=MAX(I$3,$E27),EOMONTH(I$4,0)&lt;=IF($F27="",I$4,MIN(I$4,$F27)))*1),IF($G27=102,(AND(WORKDAY(EOMONTH(I$3,0)+1,-3)&gt;=MAX(I$3,$E27),WORKDAY(EOMONTH(I$3,0)+1,-3)&lt;=IF($F27="",I$4,MIN(I$4,$F27)))*1+AND(WORKDAY(EOMONTH(I$4,0)+1,-3)&lt;&gt;WORKDAY(EOMONTH(I$3,0)+1,-3),WORKDAY(EOMONTH(I$4,0)+1,-3)&gt;=MAX(I$3,$E27),WORKDAY(EOMONTH(I$4,0)+1,-3)&lt;=IF($F27="",I$4,MIN(I$4,$F27)))*1),IF(AND(IF(EDATE($E27,MAX(0,ROUNDUP(((YEAR(I$3)-YEAR($E27))*12+MONTH(I$3)-MONTH($E27))/$G27,0)*$G27))&lt;I$3,EDATE($E27,MAX(0,ROUNDUP(((YEAR(I$3)-YEAR($E27))*12+MONTH(I$3)-MONTH($E27))/$G27,0)*$G27)+$G27),EDATE($E27,MAX(0,ROUNDUP(((YEAR(I$3)-YEAR($E27))*12+MONTH(I$3)-MONTH($E27))/$G27,0)*$G27)))&gt;=I$3,IF(EDATE($E27,MAX(0,ROUNDUP(((YEAR(I$3)-YEAR($E27))*12+MONTH(I$3)-MONTH($E27))/$G27,0)*$G27))&lt;I$3,EDATE($E27,MAX(0,ROUNDUP(((YEAR(I$3)-YEAR($E27))*12+MONTH(I$3)-MONTH($E27))/$G27,0)*$G27)+$G27),EDATE($E27,MAX(0,ROUNDUP(((YEAR(I$3)-YEAR($E27))*12+MONTH(I$3)-MONTH($E27))/$G27,0)*$G27)))&lt;=IF($F27="",I$4,MIN(I$4,$F27))),1,0)))))</f>
        <v>0</v>
      </c>
      <c r="J27" s="25" t="n">
        <f aca="false">IF(OR($C27="",$C27=0,$E27="",$B27="",$G27=-2),0,$C27*IF($G27=0,IF(IF($F27="",J$4,MIN(J$4,$F27))&lt;$E27,0,MAX(0,INT((IF($F27="",J$4,MIN(J$4,$F27))-$E27)/7)+1-MAX(0,ROUNDUP((J$3-$E27)/7,0)))),IF($G27=101,(AND(EOMONTH(J$3,0)&gt;=MAX(J$3,$E27),EOMONTH(J$3,0)&lt;=IF($F27="",J$4,MIN(J$4,$F27)))*1+AND(EOMONTH(J$4,0)&lt;&gt;EOMONTH(J$3,0),EOMONTH(J$4,0)&gt;=MAX(J$3,$E27),EOMONTH(J$4,0)&lt;=IF($F27="",J$4,MIN(J$4,$F27)))*1),IF($G27=102,(AND(WORKDAY(EOMONTH(J$3,0)+1,-3)&gt;=MAX(J$3,$E27),WORKDAY(EOMONTH(J$3,0)+1,-3)&lt;=IF($F27="",J$4,MIN(J$4,$F27)))*1+AND(WORKDAY(EOMONTH(J$4,0)+1,-3)&lt;&gt;WORKDAY(EOMONTH(J$3,0)+1,-3),WORKDAY(EOMONTH(J$4,0)+1,-3)&gt;=MAX(J$3,$E27),WORKDAY(EOMONTH(J$4,0)+1,-3)&lt;=IF($F27="",J$4,MIN(J$4,$F27)))*1),IF(AND(IF(EDATE($E27,MAX(0,ROUNDUP(((YEAR(J$3)-YEAR($E27))*12+MONTH(J$3)-MONTH($E27))/$G27,0)*$G27))&lt;J$3,EDATE($E27,MAX(0,ROUNDUP(((YEAR(J$3)-YEAR($E27))*12+MONTH(J$3)-MONTH($E27))/$G27,0)*$G27)+$G27),EDATE($E27,MAX(0,ROUNDUP(((YEAR(J$3)-YEAR($E27))*12+MONTH(J$3)-MONTH($E27))/$G27,0)*$G27)))&gt;=J$3,IF(EDATE($E27,MAX(0,ROUNDUP(((YEAR(J$3)-YEAR($E27))*12+MONTH(J$3)-MONTH($E27))/$G27,0)*$G27))&lt;J$3,EDATE($E27,MAX(0,ROUNDUP(((YEAR(J$3)-YEAR($E27))*12+MONTH(J$3)-MONTH($E27))/$G27,0)*$G27)+$G27),EDATE($E27,MAX(0,ROUNDUP(((YEAR(J$3)-YEAR($E27))*12+MONTH(J$3)-MONTH($E27))/$G27,0)*$G27)))&lt;=IF($F27="",J$4,MIN(J$4,$F27))),1,0)))))</f>
        <v>0</v>
      </c>
      <c r="K27" s="25" t="n">
        <f aca="false">IF(OR($C27="",$C27=0,$E27="",$B27="",$G27=-2),0,$C27*IF($G27=0,IF(IF($F27="",K$4,MIN(K$4,$F27))&lt;$E27,0,MAX(0,INT((IF($F27="",K$4,MIN(K$4,$F27))-$E27)/7)+1-MAX(0,ROUNDUP((K$3-$E27)/7,0)))),IF($G27=101,(AND(EOMONTH(K$3,0)&gt;=MAX(K$3,$E27),EOMONTH(K$3,0)&lt;=IF($F27="",K$4,MIN(K$4,$F27)))*1+AND(EOMONTH(K$4,0)&lt;&gt;EOMONTH(K$3,0),EOMONTH(K$4,0)&gt;=MAX(K$3,$E27),EOMONTH(K$4,0)&lt;=IF($F27="",K$4,MIN(K$4,$F27)))*1),IF($G27=102,(AND(WORKDAY(EOMONTH(K$3,0)+1,-3)&gt;=MAX(K$3,$E27),WORKDAY(EOMONTH(K$3,0)+1,-3)&lt;=IF($F27="",K$4,MIN(K$4,$F27)))*1+AND(WORKDAY(EOMONTH(K$4,0)+1,-3)&lt;&gt;WORKDAY(EOMONTH(K$3,0)+1,-3),WORKDAY(EOMONTH(K$4,0)+1,-3)&gt;=MAX(K$3,$E27),WORKDAY(EOMONTH(K$4,0)+1,-3)&lt;=IF($F27="",K$4,MIN(K$4,$F27)))*1),IF(AND(IF(EDATE($E27,MAX(0,ROUNDUP(((YEAR(K$3)-YEAR($E27))*12+MONTH(K$3)-MONTH($E27))/$G27,0)*$G27))&lt;K$3,EDATE($E27,MAX(0,ROUNDUP(((YEAR(K$3)-YEAR($E27))*12+MONTH(K$3)-MONTH($E27))/$G27,0)*$G27)+$G27),EDATE($E27,MAX(0,ROUNDUP(((YEAR(K$3)-YEAR($E27))*12+MONTH(K$3)-MONTH($E27))/$G27,0)*$G27)))&gt;=K$3,IF(EDATE($E27,MAX(0,ROUNDUP(((YEAR(K$3)-YEAR($E27))*12+MONTH(K$3)-MONTH($E27))/$G27,0)*$G27))&lt;K$3,EDATE($E27,MAX(0,ROUNDUP(((YEAR(K$3)-YEAR($E27))*12+MONTH(K$3)-MONTH($E27))/$G27,0)*$G27)+$G27),EDATE($E27,MAX(0,ROUNDUP(((YEAR(K$3)-YEAR($E27))*12+MONTH(K$3)-MONTH($E27))/$G27,0)*$G27)))&lt;=IF($F27="",K$4,MIN(K$4,$F27))),1,0)))))</f>
        <v>0</v>
      </c>
      <c r="L27" s="25" t="n">
        <f aca="false">IF(OR($C27="",$C27=0,$E27="",$B27="",$G27=-2),0,$C27*IF($G27=0,IF(IF($F27="",L$4,MIN(L$4,$F27))&lt;$E27,0,MAX(0,INT((IF($F27="",L$4,MIN(L$4,$F27))-$E27)/7)+1-MAX(0,ROUNDUP((L$3-$E27)/7,0)))),IF($G27=101,(AND(EOMONTH(L$3,0)&gt;=MAX(L$3,$E27),EOMONTH(L$3,0)&lt;=IF($F27="",L$4,MIN(L$4,$F27)))*1+AND(EOMONTH(L$4,0)&lt;&gt;EOMONTH(L$3,0),EOMONTH(L$4,0)&gt;=MAX(L$3,$E27),EOMONTH(L$4,0)&lt;=IF($F27="",L$4,MIN(L$4,$F27)))*1),IF($G27=102,(AND(WORKDAY(EOMONTH(L$3,0)+1,-3)&gt;=MAX(L$3,$E27),WORKDAY(EOMONTH(L$3,0)+1,-3)&lt;=IF($F27="",L$4,MIN(L$4,$F27)))*1+AND(WORKDAY(EOMONTH(L$4,0)+1,-3)&lt;&gt;WORKDAY(EOMONTH(L$3,0)+1,-3),WORKDAY(EOMONTH(L$4,0)+1,-3)&gt;=MAX(L$3,$E27),WORKDAY(EOMONTH(L$4,0)+1,-3)&lt;=IF($F27="",L$4,MIN(L$4,$F27)))*1),IF(AND(IF(EDATE($E27,MAX(0,ROUNDUP(((YEAR(L$3)-YEAR($E27))*12+MONTH(L$3)-MONTH($E27))/$G27,0)*$G27))&lt;L$3,EDATE($E27,MAX(0,ROUNDUP(((YEAR(L$3)-YEAR($E27))*12+MONTH(L$3)-MONTH($E27))/$G27,0)*$G27)+$G27),EDATE($E27,MAX(0,ROUNDUP(((YEAR(L$3)-YEAR($E27))*12+MONTH(L$3)-MONTH($E27))/$G27,0)*$G27)))&gt;=L$3,IF(EDATE($E27,MAX(0,ROUNDUP(((YEAR(L$3)-YEAR($E27))*12+MONTH(L$3)-MONTH($E27))/$G27,0)*$G27))&lt;L$3,EDATE($E27,MAX(0,ROUNDUP(((YEAR(L$3)-YEAR($E27))*12+MONTH(L$3)-MONTH($E27))/$G27,0)*$G27)+$G27),EDATE($E27,MAX(0,ROUNDUP(((YEAR(L$3)-YEAR($E27))*12+MONTH(L$3)-MONTH($E27))/$G27,0)*$G27)))&lt;=IF($F27="",L$4,MIN(L$4,$F27))),1,0)))))</f>
        <v>0</v>
      </c>
      <c r="M27" s="25" t="n">
        <f aca="false">IF(OR($C27="",$C27=0,$E27="",$B27="",$G27=-2),0,$C27*IF($G27=0,IF(IF($F27="",M$4,MIN(M$4,$F27))&lt;$E27,0,MAX(0,INT((IF($F27="",M$4,MIN(M$4,$F27))-$E27)/7)+1-MAX(0,ROUNDUP((M$3-$E27)/7,0)))),IF($G27=101,(AND(EOMONTH(M$3,0)&gt;=MAX(M$3,$E27),EOMONTH(M$3,0)&lt;=IF($F27="",M$4,MIN(M$4,$F27)))*1+AND(EOMONTH(M$4,0)&lt;&gt;EOMONTH(M$3,0),EOMONTH(M$4,0)&gt;=MAX(M$3,$E27),EOMONTH(M$4,0)&lt;=IF($F27="",M$4,MIN(M$4,$F27)))*1),IF($G27=102,(AND(WORKDAY(EOMONTH(M$3,0)+1,-3)&gt;=MAX(M$3,$E27),WORKDAY(EOMONTH(M$3,0)+1,-3)&lt;=IF($F27="",M$4,MIN(M$4,$F27)))*1+AND(WORKDAY(EOMONTH(M$4,0)+1,-3)&lt;&gt;WORKDAY(EOMONTH(M$3,0)+1,-3),WORKDAY(EOMONTH(M$4,0)+1,-3)&gt;=MAX(M$3,$E27),WORKDAY(EOMONTH(M$4,0)+1,-3)&lt;=IF($F27="",M$4,MIN(M$4,$F27)))*1),IF(AND(IF(EDATE($E27,MAX(0,ROUNDUP(((YEAR(M$3)-YEAR($E27))*12+MONTH(M$3)-MONTH($E27))/$G27,0)*$G27))&lt;M$3,EDATE($E27,MAX(0,ROUNDUP(((YEAR(M$3)-YEAR($E27))*12+MONTH(M$3)-MONTH($E27))/$G27,0)*$G27)+$G27),EDATE($E27,MAX(0,ROUNDUP(((YEAR(M$3)-YEAR($E27))*12+MONTH(M$3)-MONTH($E27))/$G27,0)*$G27)))&gt;=M$3,IF(EDATE($E27,MAX(0,ROUNDUP(((YEAR(M$3)-YEAR($E27))*12+MONTH(M$3)-MONTH($E27))/$G27,0)*$G27))&lt;M$3,EDATE($E27,MAX(0,ROUNDUP(((YEAR(M$3)-YEAR($E27))*12+MONTH(M$3)-MONTH($E27))/$G27,0)*$G27)+$G27),EDATE($E27,MAX(0,ROUNDUP(((YEAR(M$3)-YEAR($E27))*12+MONTH(M$3)-MONTH($E27))/$G27,0)*$G27)))&lt;=IF($F27="",M$4,MIN(M$4,$F27))),1,0)))))</f>
        <v>0</v>
      </c>
      <c r="N27" s="25" t="n">
        <f aca="false">IF(OR($C27="",$C27=0,$E27="",$B27="",$G27=-2),0,$C27*IF($G27=0,IF(IF($F27="",N$4,MIN(N$4,$F27))&lt;$E27,0,MAX(0,INT((IF($F27="",N$4,MIN(N$4,$F27))-$E27)/7)+1-MAX(0,ROUNDUP((N$3-$E27)/7,0)))),IF($G27=101,(AND(EOMONTH(N$3,0)&gt;=MAX(N$3,$E27),EOMONTH(N$3,0)&lt;=IF($F27="",N$4,MIN(N$4,$F27)))*1+AND(EOMONTH(N$4,0)&lt;&gt;EOMONTH(N$3,0),EOMONTH(N$4,0)&gt;=MAX(N$3,$E27),EOMONTH(N$4,0)&lt;=IF($F27="",N$4,MIN(N$4,$F27)))*1),IF($G27=102,(AND(WORKDAY(EOMONTH(N$3,0)+1,-3)&gt;=MAX(N$3,$E27),WORKDAY(EOMONTH(N$3,0)+1,-3)&lt;=IF($F27="",N$4,MIN(N$4,$F27)))*1+AND(WORKDAY(EOMONTH(N$4,0)+1,-3)&lt;&gt;WORKDAY(EOMONTH(N$3,0)+1,-3),WORKDAY(EOMONTH(N$4,0)+1,-3)&gt;=MAX(N$3,$E27),WORKDAY(EOMONTH(N$4,0)+1,-3)&lt;=IF($F27="",N$4,MIN(N$4,$F27)))*1),IF(AND(IF(EDATE($E27,MAX(0,ROUNDUP(((YEAR(N$3)-YEAR($E27))*12+MONTH(N$3)-MONTH($E27))/$G27,0)*$G27))&lt;N$3,EDATE($E27,MAX(0,ROUNDUP(((YEAR(N$3)-YEAR($E27))*12+MONTH(N$3)-MONTH($E27))/$G27,0)*$G27)+$G27),EDATE($E27,MAX(0,ROUNDUP(((YEAR(N$3)-YEAR($E27))*12+MONTH(N$3)-MONTH($E27))/$G27,0)*$G27)))&gt;=N$3,IF(EDATE($E27,MAX(0,ROUNDUP(((YEAR(N$3)-YEAR($E27))*12+MONTH(N$3)-MONTH($E27))/$G27,0)*$G27))&lt;N$3,EDATE($E27,MAX(0,ROUNDUP(((YEAR(N$3)-YEAR($E27))*12+MONTH(N$3)-MONTH($E27))/$G27,0)*$G27)+$G27),EDATE($E27,MAX(0,ROUNDUP(((YEAR(N$3)-YEAR($E27))*12+MONTH(N$3)-MONTH($E27))/$G27,0)*$G27)))&lt;=IF($F27="",N$4,MIN(N$4,$F27))),1,0)))))</f>
        <v>0</v>
      </c>
      <c r="O27" s="25" t="n">
        <f aca="false">IF(OR($C27="",$C27=0,$E27="",$B27="",$G27=-2),0,$C27*IF($G27=0,IF(IF($F27="",O$4,MIN(O$4,$F27))&lt;$E27,0,MAX(0,INT((IF($F27="",O$4,MIN(O$4,$F27))-$E27)/7)+1-MAX(0,ROUNDUP((O$3-$E27)/7,0)))),IF($G27=101,(AND(EOMONTH(O$3,0)&gt;=MAX(O$3,$E27),EOMONTH(O$3,0)&lt;=IF($F27="",O$4,MIN(O$4,$F27)))*1+AND(EOMONTH(O$4,0)&lt;&gt;EOMONTH(O$3,0),EOMONTH(O$4,0)&gt;=MAX(O$3,$E27),EOMONTH(O$4,0)&lt;=IF($F27="",O$4,MIN(O$4,$F27)))*1),IF($G27=102,(AND(WORKDAY(EOMONTH(O$3,0)+1,-3)&gt;=MAX(O$3,$E27),WORKDAY(EOMONTH(O$3,0)+1,-3)&lt;=IF($F27="",O$4,MIN(O$4,$F27)))*1+AND(WORKDAY(EOMONTH(O$4,0)+1,-3)&lt;&gt;WORKDAY(EOMONTH(O$3,0)+1,-3),WORKDAY(EOMONTH(O$4,0)+1,-3)&gt;=MAX(O$3,$E27),WORKDAY(EOMONTH(O$4,0)+1,-3)&lt;=IF($F27="",O$4,MIN(O$4,$F27)))*1),IF(AND(IF(EDATE($E27,MAX(0,ROUNDUP(((YEAR(O$3)-YEAR($E27))*12+MONTH(O$3)-MONTH($E27))/$G27,0)*$G27))&lt;O$3,EDATE($E27,MAX(0,ROUNDUP(((YEAR(O$3)-YEAR($E27))*12+MONTH(O$3)-MONTH($E27))/$G27,0)*$G27)+$G27),EDATE($E27,MAX(0,ROUNDUP(((YEAR(O$3)-YEAR($E27))*12+MONTH(O$3)-MONTH($E27))/$G27,0)*$G27)))&gt;=O$3,IF(EDATE($E27,MAX(0,ROUNDUP(((YEAR(O$3)-YEAR($E27))*12+MONTH(O$3)-MONTH($E27))/$G27,0)*$G27))&lt;O$3,EDATE($E27,MAX(0,ROUNDUP(((YEAR(O$3)-YEAR($E27))*12+MONTH(O$3)-MONTH($E27))/$G27,0)*$G27)+$G27),EDATE($E27,MAX(0,ROUNDUP(((YEAR(O$3)-YEAR($E27))*12+MONTH(O$3)-MONTH($E27))/$G27,0)*$G27)))&lt;=IF($F27="",O$4,MIN(O$4,$F27))),1,0)))))</f>
        <v>0</v>
      </c>
      <c r="P27" s="25" t="n">
        <f aca="false">IF(OR($C27="",$C27=0,$E27="",$B27="",$G27=-2),0,$C27*IF($G27=0,IF(IF($F27="",P$4,MIN(P$4,$F27))&lt;$E27,0,MAX(0,INT((IF($F27="",P$4,MIN(P$4,$F27))-$E27)/7)+1-MAX(0,ROUNDUP((P$3-$E27)/7,0)))),IF($G27=101,(AND(EOMONTH(P$3,0)&gt;=MAX(P$3,$E27),EOMONTH(P$3,0)&lt;=IF($F27="",P$4,MIN(P$4,$F27)))*1+AND(EOMONTH(P$4,0)&lt;&gt;EOMONTH(P$3,0),EOMONTH(P$4,0)&gt;=MAX(P$3,$E27),EOMONTH(P$4,0)&lt;=IF($F27="",P$4,MIN(P$4,$F27)))*1),IF($G27=102,(AND(WORKDAY(EOMONTH(P$3,0)+1,-3)&gt;=MAX(P$3,$E27),WORKDAY(EOMONTH(P$3,0)+1,-3)&lt;=IF($F27="",P$4,MIN(P$4,$F27)))*1+AND(WORKDAY(EOMONTH(P$4,0)+1,-3)&lt;&gt;WORKDAY(EOMONTH(P$3,0)+1,-3),WORKDAY(EOMONTH(P$4,0)+1,-3)&gt;=MAX(P$3,$E27),WORKDAY(EOMONTH(P$4,0)+1,-3)&lt;=IF($F27="",P$4,MIN(P$4,$F27)))*1),IF(AND(IF(EDATE($E27,MAX(0,ROUNDUP(((YEAR(P$3)-YEAR($E27))*12+MONTH(P$3)-MONTH($E27))/$G27,0)*$G27))&lt;P$3,EDATE($E27,MAX(0,ROUNDUP(((YEAR(P$3)-YEAR($E27))*12+MONTH(P$3)-MONTH($E27))/$G27,0)*$G27)+$G27),EDATE($E27,MAX(0,ROUNDUP(((YEAR(P$3)-YEAR($E27))*12+MONTH(P$3)-MONTH($E27))/$G27,0)*$G27)))&gt;=P$3,IF(EDATE($E27,MAX(0,ROUNDUP(((YEAR(P$3)-YEAR($E27))*12+MONTH(P$3)-MONTH($E27))/$G27,0)*$G27))&lt;P$3,EDATE($E27,MAX(0,ROUNDUP(((YEAR(P$3)-YEAR($E27))*12+MONTH(P$3)-MONTH($E27))/$G27,0)*$G27)+$G27),EDATE($E27,MAX(0,ROUNDUP(((YEAR(P$3)-YEAR($E27))*12+MONTH(P$3)-MONTH($E27))/$G27,0)*$G27)))&lt;=IF($F27="",P$4,MIN(P$4,$F27))),1,0)))))</f>
        <v>0</v>
      </c>
      <c r="Q27" s="25" t="n">
        <f aca="false">IF(OR($C27="",$C27=0,$E27="",$B27="",$G27=-2),0,$C27*IF($G27=0,IF(IF($F27="",Q$4,MIN(Q$4,$F27))&lt;$E27,0,MAX(0,INT((IF($F27="",Q$4,MIN(Q$4,$F27))-$E27)/7)+1-MAX(0,ROUNDUP((Q$3-$E27)/7,0)))),IF($G27=101,(AND(EOMONTH(Q$3,0)&gt;=MAX(Q$3,$E27),EOMONTH(Q$3,0)&lt;=IF($F27="",Q$4,MIN(Q$4,$F27)))*1+AND(EOMONTH(Q$4,0)&lt;&gt;EOMONTH(Q$3,0),EOMONTH(Q$4,0)&gt;=MAX(Q$3,$E27),EOMONTH(Q$4,0)&lt;=IF($F27="",Q$4,MIN(Q$4,$F27)))*1),IF($G27=102,(AND(WORKDAY(EOMONTH(Q$3,0)+1,-3)&gt;=MAX(Q$3,$E27),WORKDAY(EOMONTH(Q$3,0)+1,-3)&lt;=IF($F27="",Q$4,MIN(Q$4,$F27)))*1+AND(WORKDAY(EOMONTH(Q$4,0)+1,-3)&lt;&gt;WORKDAY(EOMONTH(Q$3,0)+1,-3),WORKDAY(EOMONTH(Q$4,0)+1,-3)&gt;=MAX(Q$3,$E27),WORKDAY(EOMONTH(Q$4,0)+1,-3)&lt;=IF($F27="",Q$4,MIN(Q$4,$F27)))*1),IF(AND(IF(EDATE($E27,MAX(0,ROUNDUP(((YEAR(Q$3)-YEAR($E27))*12+MONTH(Q$3)-MONTH($E27))/$G27,0)*$G27))&lt;Q$3,EDATE($E27,MAX(0,ROUNDUP(((YEAR(Q$3)-YEAR($E27))*12+MONTH(Q$3)-MONTH($E27))/$G27,0)*$G27)+$G27),EDATE($E27,MAX(0,ROUNDUP(((YEAR(Q$3)-YEAR($E27))*12+MONTH(Q$3)-MONTH($E27))/$G27,0)*$G27)))&gt;=Q$3,IF(EDATE($E27,MAX(0,ROUNDUP(((YEAR(Q$3)-YEAR($E27))*12+MONTH(Q$3)-MONTH($E27))/$G27,0)*$G27))&lt;Q$3,EDATE($E27,MAX(0,ROUNDUP(((YEAR(Q$3)-YEAR($E27))*12+MONTH(Q$3)-MONTH($E27))/$G27,0)*$G27)+$G27),EDATE($E27,MAX(0,ROUNDUP(((YEAR(Q$3)-YEAR($E27))*12+MONTH(Q$3)-MONTH($E27))/$G27,0)*$G27)))&lt;=IF($F27="",Q$4,MIN(Q$4,$F27))),1,0)))))</f>
        <v>0</v>
      </c>
      <c r="R27" s="25" t="n">
        <f aca="false">IF(OR($C27="",$C27=0,$E27="",$B27="",$G27=-2),0,$C27*IF($G27=0,IF(IF($F27="",R$4,MIN(R$4,$F27))&lt;$E27,0,MAX(0,INT((IF($F27="",R$4,MIN(R$4,$F27))-$E27)/7)+1-MAX(0,ROUNDUP((R$3-$E27)/7,0)))),IF($G27=101,(AND(EOMONTH(R$3,0)&gt;=MAX(R$3,$E27),EOMONTH(R$3,0)&lt;=IF($F27="",R$4,MIN(R$4,$F27)))*1+AND(EOMONTH(R$4,0)&lt;&gt;EOMONTH(R$3,0),EOMONTH(R$4,0)&gt;=MAX(R$3,$E27),EOMONTH(R$4,0)&lt;=IF($F27="",R$4,MIN(R$4,$F27)))*1),IF($G27=102,(AND(WORKDAY(EOMONTH(R$3,0)+1,-3)&gt;=MAX(R$3,$E27),WORKDAY(EOMONTH(R$3,0)+1,-3)&lt;=IF($F27="",R$4,MIN(R$4,$F27)))*1+AND(WORKDAY(EOMONTH(R$4,0)+1,-3)&lt;&gt;WORKDAY(EOMONTH(R$3,0)+1,-3),WORKDAY(EOMONTH(R$4,0)+1,-3)&gt;=MAX(R$3,$E27),WORKDAY(EOMONTH(R$4,0)+1,-3)&lt;=IF($F27="",R$4,MIN(R$4,$F27)))*1),IF(AND(IF(EDATE($E27,MAX(0,ROUNDUP(((YEAR(R$3)-YEAR($E27))*12+MONTH(R$3)-MONTH($E27))/$G27,0)*$G27))&lt;R$3,EDATE($E27,MAX(0,ROUNDUP(((YEAR(R$3)-YEAR($E27))*12+MONTH(R$3)-MONTH($E27))/$G27,0)*$G27)+$G27),EDATE($E27,MAX(0,ROUNDUP(((YEAR(R$3)-YEAR($E27))*12+MONTH(R$3)-MONTH($E27))/$G27,0)*$G27)))&gt;=R$3,IF(EDATE($E27,MAX(0,ROUNDUP(((YEAR(R$3)-YEAR($E27))*12+MONTH(R$3)-MONTH($E27))/$G27,0)*$G27))&lt;R$3,EDATE($E27,MAX(0,ROUNDUP(((YEAR(R$3)-YEAR($E27))*12+MONTH(R$3)-MONTH($E27))/$G27,0)*$G27)+$G27),EDATE($E27,MAX(0,ROUNDUP(((YEAR(R$3)-YEAR($E27))*12+MONTH(R$3)-MONTH($E27))/$G27,0)*$G27)))&lt;=IF($F27="",R$4,MIN(R$4,$F27))),1,0)))))</f>
        <v>0</v>
      </c>
      <c r="S27" s="25" t="n">
        <f aca="false">IF(OR($C27="",$C27=0,$E27="",$B27="",$G27=-2),0,$C27*IF($G27=0,IF(IF($F27="",S$4,MIN(S$4,$F27))&lt;$E27,0,MAX(0,INT((IF($F27="",S$4,MIN(S$4,$F27))-$E27)/7)+1-MAX(0,ROUNDUP((S$3-$E27)/7,0)))),IF($G27=101,(AND(EOMONTH(S$3,0)&gt;=MAX(S$3,$E27),EOMONTH(S$3,0)&lt;=IF($F27="",S$4,MIN(S$4,$F27)))*1+AND(EOMONTH(S$4,0)&lt;&gt;EOMONTH(S$3,0),EOMONTH(S$4,0)&gt;=MAX(S$3,$E27),EOMONTH(S$4,0)&lt;=IF($F27="",S$4,MIN(S$4,$F27)))*1),IF($G27=102,(AND(WORKDAY(EOMONTH(S$3,0)+1,-3)&gt;=MAX(S$3,$E27),WORKDAY(EOMONTH(S$3,0)+1,-3)&lt;=IF($F27="",S$4,MIN(S$4,$F27)))*1+AND(WORKDAY(EOMONTH(S$4,0)+1,-3)&lt;&gt;WORKDAY(EOMONTH(S$3,0)+1,-3),WORKDAY(EOMONTH(S$4,0)+1,-3)&gt;=MAX(S$3,$E27),WORKDAY(EOMONTH(S$4,0)+1,-3)&lt;=IF($F27="",S$4,MIN(S$4,$F27)))*1),IF(AND(IF(EDATE($E27,MAX(0,ROUNDUP(((YEAR(S$3)-YEAR($E27))*12+MONTH(S$3)-MONTH($E27))/$G27,0)*$G27))&lt;S$3,EDATE($E27,MAX(0,ROUNDUP(((YEAR(S$3)-YEAR($E27))*12+MONTH(S$3)-MONTH($E27))/$G27,0)*$G27)+$G27),EDATE($E27,MAX(0,ROUNDUP(((YEAR(S$3)-YEAR($E27))*12+MONTH(S$3)-MONTH($E27))/$G27,0)*$G27)))&gt;=S$3,IF(EDATE($E27,MAX(0,ROUNDUP(((YEAR(S$3)-YEAR($E27))*12+MONTH(S$3)-MONTH($E27))/$G27,0)*$G27))&lt;S$3,EDATE($E27,MAX(0,ROUNDUP(((YEAR(S$3)-YEAR($E27))*12+MONTH(S$3)-MONTH($E27))/$G27,0)*$G27)+$G27),EDATE($E27,MAX(0,ROUNDUP(((YEAR(S$3)-YEAR($E27))*12+MONTH(S$3)-MONTH($E27))/$G27,0)*$G27)))&lt;=IF($F27="",S$4,MIN(S$4,$F27))),1,0)))))</f>
        <v>0</v>
      </c>
      <c r="T27" s="25" t="n">
        <f aca="false">IF(OR($C27="",$C27=0,$E27="",$B27="",$G27=-2),0,$C27*IF($G27=0,IF(IF($F27="",T$4,MIN(T$4,$F27))&lt;$E27,0,MAX(0,INT((IF($F27="",T$4,MIN(T$4,$F27))-$E27)/7)+1-MAX(0,ROUNDUP((T$3-$E27)/7,0)))),IF($G27=101,(AND(EOMONTH(T$3,0)&gt;=MAX(T$3,$E27),EOMONTH(T$3,0)&lt;=IF($F27="",T$4,MIN(T$4,$F27)))*1+AND(EOMONTH(T$4,0)&lt;&gt;EOMONTH(T$3,0),EOMONTH(T$4,0)&gt;=MAX(T$3,$E27),EOMONTH(T$4,0)&lt;=IF($F27="",T$4,MIN(T$4,$F27)))*1),IF($G27=102,(AND(WORKDAY(EOMONTH(T$3,0)+1,-3)&gt;=MAX(T$3,$E27),WORKDAY(EOMONTH(T$3,0)+1,-3)&lt;=IF($F27="",T$4,MIN(T$4,$F27)))*1+AND(WORKDAY(EOMONTH(T$4,0)+1,-3)&lt;&gt;WORKDAY(EOMONTH(T$3,0)+1,-3),WORKDAY(EOMONTH(T$4,0)+1,-3)&gt;=MAX(T$3,$E27),WORKDAY(EOMONTH(T$4,0)+1,-3)&lt;=IF($F27="",T$4,MIN(T$4,$F27)))*1),IF(AND(IF(EDATE($E27,MAX(0,ROUNDUP(((YEAR(T$3)-YEAR($E27))*12+MONTH(T$3)-MONTH($E27))/$G27,0)*$G27))&lt;T$3,EDATE($E27,MAX(0,ROUNDUP(((YEAR(T$3)-YEAR($E27))*12+MONTH(T$3)-MONTH($E27))/$G27,0)*$G27)+$G27),EDATE($E27,MAX(0,ROUNDUP(((YEAR(T$3)-YEAR($E27))*12+MONTH(T$3)-MONTH($E27))/$G27,0)*$G27)))&gt;=T$3,IF(EDATE($E27,MAX(0,ROUNDUP(((YEAR(T$3)-YEAR($E27))*12+MONTH(T$3)-MONTH($E27))/$G27,0)*$G27))&lt;T$3,EDATE($E27,MAX(0,ROUNDUP(((YEAR(T$3)-YEAR($E27))*12+MONTH(T$3)-MONTH($E27))/$G27,0)*$G27)+$G27),EDATE($E27,MAX(0,ROUNDUP(((YEAR(T$3)-YEAR($E27))*12+MONTH(T$3)-MONTH($E27))/$G27,0)*$G27)))&lt;=IF($F27="",T$4,MIN(T$4,$F27))),1,0)))))</f>
        <v>0</v>
      </c>
      <c r="U27" s="25" t="n">
        <f aca="false">IF(OR($C27="",$C27=0,$E27="",$B27="",$G27=-2),0,$C27*IF($G27=0,IF(IF($F27="",U$4,MIN(U$4,$F27))&lt;$E27,0,MAX(0,INT((IF($F27="",U$4,MIN(U$4,$F27))-$E27)/7)+1-MAX(0,ROUNDUP((U$3-$E27)/7,0)))),IF($G27=101,(AND(EOMONTH(U$3,0)&gt;=MAX(U$3,$E27),EOMONTH(U$3,0)&lt;=IF($F27="",U$4,MIN(U$4,$F27)))*1+AND(EOMONTH(U$4,0)&lt;&gt;EOMONTH(U$3,0),EOMONTH(U$4,0)&gt;=MAX(U$3,$E27),EOMONTH(U$4,0)&lt;=IF($F27="",U$4,MIN(U$4,$F27)))*1),IF($G27=102,(AND(WORKDAY(EOMONTH(U$3,0)+1,-3)&gt;=MAX(U$3,$E27),WORKDAY(EOMONTH(U$3,0)+1,-3)&lt;=IF($F27="",U$4,MIN(U$4,$F27)))*1+AND(WORKDAY(EOMONTH(U$4,0)+1,-3)&lt;&gt;WORKDAY(EOMONTH(U$3,0)+1,-3),WORKDAY(EOMONTH(U$4,0)+1,-3)&gt;=MAX(U$3,$E27),WORKDAY(EOMONTH(U$4,0)+1,-3)&lt;=IF($F27="",U$4,MIN(U$4,$F27)))*1),IF(AND(IF(EDATE($E27,MAX(0,ROUNDUP(((YEAR(U$3)-YEAR($E27))*12+MONTH(U$3)-MONTH($E27))/$G27,0)*$G27))&lt;U$3,EDATE($E27,MAX(0,ROUNDUP(((YEAR(U$3)-YEAR($E27))*12+MONTH(U$3)-MONTH($E27))/$G27,0)*$G27)+$G27),EDATE($E27,MAX(0,ROUNDUP(((YEAR(U$3)-YEAR($E27))*12+MONTH(U$3)-MONTH($E27))/$G27,0)*$G27)))&gt;=U$3,IF(EDATE($E27,MAX(0,ROUNDUP(((YEAR(U$3)-YEAR($E27))*12+MONTH(U$3)-MONTH($E27))/$G27,0)*$G27))&lt;U$3,EDATE($E27,MAX(0,ROUNDUP(((YEAR(U$3)-YEAR($E27))*12+MONTH(U$3)-MONTH($E27))/$G27,0)*$G27)+$G27),EDATE($E27,MAX(0,ROUNDUP(((YEAR(U$3)-YEAR($E27))*12+MONTH(U$3)-MONTH($E27))/$G27,0)*$G27)))&lt;=IF($F27="",U$4,MIN(U$4,$F27))),1,0)))))</f>
        <v>0</v>
      </c>
      <c r="V27" s="25" t="n">
        <f aca="false">IF(OR($C27="",$C27=0,$E27="",$B27="",$G27=-2),0,$C27*IF($G27=0,IF(IF($F27="",V$4,MIN(V$4,$F27))&lt;$E27,0,MAX(0,INT((IF($F27="",V$4,MIN(V$4,$F27))-$E27)/7)+1-MAX(0,ROUNDUP((V$3-$E27)/7,0)))),IF($G27=101,(AND(EOMONTH(V$3,0)&gt;=MAX(V$3,$E27),EOMONTH(V$3,0)&lt;=IF($F27="",V$4,MIN(V$4,$F27)))*1+AND(EOMONTH(V$4,0)&lt;&gt;EOMONTH(V$3,0),EOMONTH(V$4,0)&gt;=MAX(V$3,$E27),EOMONTH(V$4,0)&lt;=IF($F27="",V$4,MIN(V$4,$F27)))*1),IF($G27=102,(AND(WORKDAY(EOMONTH(V$3,0)+1,-3)&gt;=MAX(V$3,$E27),WORKDAY(EOMONTH(V$3,0)+1,-3)&lt;=IF($F27="",V$4,MIN(V$4,$F27)))*1+AND(WORKDAY(EOMONTH(V$4,0)+1,-3)&lt;&gt;WORKDAY(EOMONTH(V$3,0)+1,-3),WORKDAY(EOMONTH(V$4,0)+1,-3)&gt;=MAX(V$3,$E27),WORKDAY(EOMONTH(V$4,0)+1,-3)&lt;=IF($F27="",V$4,MIN(V$4,$F27)))*1),IF(AND(IF(EDATE($E27,MAX(0,ROUNDUP(((YEAR(V$3)-YEAR($E27))*12+MONTH(V$3)-MONTH($E27))/$G27,0)*$G27))&lt;V$3,EDATE($E27,MAX(0,ROUNDUP(((YEAR(V$3)-YEAR($E27))*12+MONTH(V$3)-MONTH($E27))/$G27,0)*$G27)+$G27),EDATE($E27,MAX(0,ROUNDUP(((YEAR(V$3)-YEAR($E27))*12+MONTH(V$3)-MONTH($E27))/$G27,0)*$G27)))&gt;=V$3,IF(EDATE($E27,MAX(0,ROUNDUP(((YEAR(V$3)-YEAR($E27))*12+MONTH(V$3)-MONTH($E27))/$G27,0)*$G27))&lt;V$3,EDATE($E27,MAX(0,ROUNDUP(((YEAR(V$3)-YEAR($E27))*12+MONTH(V$3)-MONTH($E27))/$G27,0)*$G27)+$G27),EDATE($E27,MAX(0,ROUNDUP(((YEAR(V$3)-YEAR($E27))*12+MONTH(V$3)-MONTH($E27))/$G27,0)*$G27)))&lt;=IF($F27="",V$4,MIN(V$4,$F27))),1,0)))))</f>
        <v>0</v>
      </c>
      <c r="W27" s="25" t="n">
        <f aca="false">IF(OR($C27="",$C27=0,$E27="",$B27="",$G27=-2),0,$C27*IF($G27=0,IF(IF($F27="",W$4,MIN(W$4,$F27))&lt;$E27,0,MAX(0,INT((IF($F27="",W$4,MIN(W$4,$F27))-$E27)/7)+1-MAX(0,ROUNDUP((W$3-$E27)/7,0)))),IF($G27=101,(AND(EOMONTH(W$3,0)&gt;=MAX(W$3,$E27),EOMONTH(W$3,0)&lt;=IF($F27="",W$4,MIN(W$4,$F27)))*1+AND(EOMONTH(W$4,0)&lt;&gt;EOMONTH(W$3,0),EOMONTH(W$4,0)&gt;=MAX(W$3,$E27),EOMONTH(W$4,0)&lt;=IF($F27="",W$4,MIN(W$4,$F27)))*1),IF($G27=102,(AND(WORKDAY(EOMONTH(W$3,0)+1,-3)&gt;=MAX(W$3,$E27),WORKDAY(EOMONTH(W$3,0)+1,-3)&lt;=IF($F27="",W$4,MIN(W$4,$F27)))*1+AND(WORKDAY(EOMONTH(W$4,0)+1,-3)&lt;&gt;WORKDAY(EOMONTH(W$3,0)+1,-3),WORKDAY(EOMONTH(W$4,0)+1,-3)&gt;=MAX(W$3,$E27),WORKDAY(EOMONTH(W$4,0)+1,-3)&lt;=IF($F27="",W$4,MIN(W$4,$F27)))*1),IF(AND(IF(EDATE($E27,MAX(0,ROUNDUP(((YEAR(W$3)-YEAR($E27))*12+MONTH(W$3)-MONTH($E27))/$G27,0)*$G27))&lt;W$3,EDATE($E27,MAX(0,ROUNDUP(((YEAR(W$3)-YEAR($E27))*12+MONTH(W$3)-MONTH($E27))/$G27,0)*$G27)+$G27),EDATE($E27,MAX(0,ROUNDUP(((YEAR(W$3)-YEAR($E27))*12+MONTH(W$3)-MONTH($E27))/$G27,0)*$G27)))&gt;=W$3,IF(EDATE($E27,MAX(0,ROUNDUP(((YEAR(W$3)-YEAR($E27))*12+MONTH(W$3)-MONTH($E27))/$G27,0)*$G27))&lt;W$3,EDATE($E27,MAX(0,ROUNDUP(((YEAR(W$3)-YEAR($E27))*12+MONTH(W$3)-MONTH($E27))/$G27,0)*$G27)+$G27),EDATE($E27,MAX(0,ROUNDUP(((YEAR(W$3)-YEAR($E27))*12+MONTH(W$3)-MONTH($E27))/$G27,0)*$G27)))&lt;=IF($F27="",W$4,MIN(W$4,$F27))),1,0)))))</f>
        <v>0</v>
      </c>
      <c r="X27" s="25" t="n">
        <f aca="false">IF(OR($C27="",$C27=0,$E27="",$B27="",$G27=-2),0,$C27*IF($G27=0,IF(IF($F27="",X$4,MIN(X$4,$F27))&lt;$E27,0,MAX(0,INT((IF($F27="",X$4,MIN(X$4,$F27))-$E27)/7)+1-MAX(0,ROUNDUP((X$3-$E27)/7,0)))),IF($G27=101,(AND(EOMONTH(X$3,0)&gt;=MAX(X$3,$E27),EOMONTH(X$3,0)&lt;=IF($F27="",X$4,MIN(X$4,$F27)))*1+AND(EOMONTH(X$4,0)&lt;&gt;EOMONTH(X$3,0),EOMONTH(X$4,0)&gt;=MAX(X$3,$E27),EOMONTH(X$4,0)&lt;=IF($F27="",X$4,MIN(X$4,$F27)))*1),IF($G27=102,(AND(WORKDAY(EOMONTH(X$3,0)+1,-3)&gt;=MAX(X$3,$E27),WORKDAY(EOMONTH(X$3,0)+1,-3)&lt;=IF($F27="",X$4,MIN(X$4,$F27)))*1+AND(WORKDAY(EOMONTH(X$4,0)+1,-3)&lt;&gt;WORKDAY(EOMONTH(X$3,0)+1,-3),WORKDAY(EOMONTH(X$4,0)+1,-3)&gt;=MAX(X$3,$E27),WORKDAY(EOMONTH(X$4,0)+1,-3)&lt;=IF($F27="",X$4,MIN(X$4,$F27)))*1),IF(AND(IF(EDATE($E27,MAX(0,ROUNDUP(((YEAR(X$3)-YEAR($E27))*12+MONTH(X$3)-MONTH($E27))/$G27,0)*$G27))&lt;X$3,EDATE($E27,MAX(0,ROUNDUP(((YEAR(X$3)-YEAR($E27))*12+MONTH(X$3)-MONTH($E27))/$G27,0)*$G27)+$G27),EDATE($E27,MAX(0,ROUNDUP(((YEAR(X$3)-YEAR($E27))*12+MONTH(X$3)-MONTH($E27))/$G27,0)*$G27)))&gt;=X$3,IF(EDATE($E27,MAX(0,ROUNDUP(((YEAR(X$3)-YEAR($E27))*12+MONTH(X$3)-MONTH($E27))/$G27,0)*$G27))&lt;X$3,EDATE($E27,MAX(0,ROUNDUP(((YEAR(X$3)-YEAR($E27))*12+MONTH(X$3)-MONTH($E27))/$G27,0)*$G27)+$G27),EDATE($E27,MAX(0,ROUNDUP(((YEAR(X$3)-YEAR($E27))*12+MONTH(X$3)-MONTH($E27))/$G27,0)*$G27)))&lt;=IF($F27="",X$4,MIN(X$4,$F27))),1,0)))))</f>
        <v>0</v>
      </c>
      <c r="Y27" s="25" t="n">
        <f aca="false">IF(OR($C27="",$C27=0,$E27="",$B27="",$G27=-2),0,$C27*IF($G27=0,IF(IF($F27="",Y$4,MIN(Y$4,$F27))&lt;$E27,0,MAX(0,INT((IF($F27="",Y$4,MIN(Y$4,$F27))-$E27)/7)+1-MAX(0,ROUNDUP((Y$3-$E27)/7,0)))),IF($G27=101,(AND(EOMONTH(Y$3,0)&gt;=MAX(Y$3,$E27),EOMONTH(Y$3,0)&lt;=IF($F27="",Y$4,MIN(Y$4,$F27)))*1+AND(EOMONTH(Y$4,0)&lt;&gt;EOMONTH(Y$3,0),EOMONTH(Y$4,0)&gt;=MAX(Y$3,$E27),EOMONTH(Y$4,0)&lt;=IF($F27="",Y$4,MIN(Y$4,$F27)))*1),IF($G27=102,(AND(WORKDAY(EOMONTH(Y$3,0)+1,-3)&gt;=MAX(Y$3,$E27),WORKDAY(EOMONTH(Y$3,0)+1,-3)&lt;=IF($F27="",Y$4,MIN(Y$4,$F27)))*1+AND(WORKDAY(EOMONTH(Y$4,0)+1,-3)&lt;&gt;WORKDAY(EOMONTH(Y$3,0)+1,-3),WORKDAY(EOMONTH(Y$4,0)+1,-3)&gt;=MAX(Y$3,$E27),WORKDAY(EOMONTH(Y$4,0)+1,-3)&lt;=IF($F27="",Y$4,MIN(Y$4,$F27)))*1),IF(AND(IF(EDATE($E27,MAX(0,ROUNDUP(((YEAR(Y$3)-YEAR($E27))*12+MONTH(Y$3)-MONTH($E27))/$G27,0)*$G27))&lt;Y$3,EDATE($E27,MAX(0,ROUNDUP(((YEAR(Y$3)-YEAR($E27))*12+MONTH(Y$3)-MONTH($E27))/$G27,0)*$G27)+$G27),EDATE($E27,MAX(0,ROUNDUP(((YEAR(Y$3)-YEAR($E27))*12+MONTH(Y$3)-MONTH($E27))/$G27,0)*$G27)))&gt;=Y$3,IF(EDATE($E27,MAX(0,ROUNDUP(((YEAR(Y$3)-YEAR($E27))*12+MONTH(Y$3)-MONTH($E27))/$G27,0)*$G27))&lt;Y$3,EDATE($E27,MAX(0,ROUNDUP(((YEAR(Y$3)-YEAR($E27))*12+MONTH(Y$3)-MONTH($E27))/$G27,0)*$G27)+$G27),EDATE($E27,MAX(0,ROUNDUP(((YEAR(Y$3)-YEAR($E27))*12+MONTH(Y$3)-MONTH($E27))/$G27,0)*$G27)))&lt;=IF($F27="",Y$4,MIN(Y$4,$F27))),1,0)))))</f>
        <v>0</v>
      </c>
      <c r="Z27" s="25" t="n">
        <f aca="false">IF(OR($C27="",$C27=0,$E27="",$B27="",$G27=-2),0,$C27*IF($G27=0,IF(IF($F27="",Z$4,MIN(Z$4,$F27))&lt;$E27,0,MAX(0,INT((IF($F27="",Z$4,MIN(Z$4,$F27))-$E27)/7)+1-MAX(0,ROUNDUP((Z$3-$E27)/7,0)))),IF($G27=101,(AND(EOMONTH(Z$3,0)&gt;=MAX(Z$3,$E27),EOMONTH(Z$3,0)&lt;=IF($F27="",Z$4,MIN(Z$4,$F27)))*1+AND(EOMONTH(Z$4,0)&lt;&gt;EOMONTH(Z$3,0),EOMONTH(Z$4,0)&gt;=MAX(Z$3,$E27),EOMONTH(Z$4,0)&lt;=IF($F27="",Z$4,MIN(Z$4,$F27)))*1),IF($G27=102,(AND(WORKDAY(EOMONTH(Z$3,0)+1,-3)&gt;=MAX(Z$3,$E27),WORKDAY(EOMONTH(Z$3,0)+1,-3)&lt;=IF($F27="",Z$4,MIN(Z$4,$F27)))*1+AND(WORKDAY(EOMONTH(Z$4,0)+1,-3)&lt;&gt;WORKDAY(EOMONTH(Z$3,0)+1,-3),WORKDAY(EOMONTH(Z$4,0)+1,-3)&gt;=MAX(Z$3,$E27),WORKDAY(EOMONTH(Z$4,0)+1,-3)&lt;=IF($F27="",Z$4,MIN(Z$4,$F27)))*1),IF(AND(IF(EDATE($E27,MAX(0,ROUNDUP(((YEAR(Z$3)-YEAR($E27))*12+MONTH(Z$3)-MONTH($E27))/$G27,0)*$G27))&lt;Z$3,EDATE($E27,MAX(0,ROUNDUP(((YEAR(Z$3)-YEAR($E27))*12+MONTH(Z$3)-MONTH($E27))/$G27,0)*$G27)+$G27),EDATE($E27,MAX(0,ROUNDUP(((YEAR(Z$3)-YEAR($E27))*12+MONTH(Z$3)-MONTH($E27))/$G27,0)*$G27)))&gt;=Z$3,IF(EDATE($E27,MAX(0,ROUNDUP(((YEAR(Z$3)-YEAR($E27))*12+MONTH(Z$3)-MONTH($E27))/$G27,0)*$G27))&lt;Z$3,EDATE($E27,MAX(0,ROUNDUP(((YEAR(Z$3)-YEAR($E27))*12+MONTH(Z$3)-MONTH($E27))/$G27,0)*$G27)+$G27),EDATE($E27,MAX(0,ROUNDUP(((YEAR(Z$3)-YEAR($E27))*12+MONTH(Z$3)-MONTH($E27))/$G27,0)*$G27)))&lt;=IF($F27="",Z$4,MIN(Z$4,$F27))),1,0)))))</f>
        <v>0</v>
      </c>
      <c r="AA27" s="25" t="n">
        <f aca="false">IF(OR($C27="",$C27=0,$E27="",$B27="",$G27=-2),0,$C27*IF($G27=0,IF(IF($F27="",AA$4,MIN(AA$4,$F27))&lt;$E27,0,MAX(0,INT((IF($F27="",AA$4,MIN(AA$4,$F27))-$E27)/7)+1-MAX(0,ROUNDUP((AA$3-$E27)/7,0)))),IF($G27=101,(AND(EOMONTH(AA$3,0)&gt;=MAX(AA$3,$E27),EOMONTH(AA$3,0)&lt;=IF($F27="",AA$4,MIN(AA$4,$F27)))*1+AND(EOMONTH(AA$4,0)&lt;&gt;EOMONTH(AA$3,0),EOMONTH(AA$4,0)&gt;=MAX(AA$3,$E27),EOMONTH(AA$4,0)&lt;=IF($F27="",AA$4,MIN(AA$4,$F27)))*1),IF($G27=102,(AND(WORKDAY(EOMONTH(AA$3,0)+1,-3)&gt;=MAX(AA$3,$E27),WORKDAY(EOMONTH(AA$3,0)+1,-3)&lt;=IF($F27="",AA$4,MIN(AA$4,$F27)))*1+AND(WORKDAY(EOMONTH(AA$4,0)+1,-3)&lt;&gt;WORKDAY(EOMONTH(AA$3,0)+1,-3),WORKDAY(EOMONTH(AA$4,0)+1,-3)&gt;=MAX(AA$3,$E27),WORKDAY(EOMONTH(AA$4,0)+1,-3)&lt;=IF($F27="",AA$4,MIN(AA$4,$F27)))*1),IF(AND(IF(EDATE($E27,MAX(0,ROUNDUP(((YEAR(AA$3)-YEAR($E27))*12+MONTH(AA$3)-MONTH($E27))/$G27,0)*$G27))&lt;AA$3,EDATE($E27,MAX(0,ROUNDUP(((YEAR(AA$3)-YEAR($E27))*12+MONTH(AA$3)-MONTH($E27))/$G27,0)*$G27)+$G27),EDATE($E27,MAX(0,ROUNDUP(((YEAR(AA$3)-YEAR($E27))*12+MONTH(AA$3)-MONTH($E27))/$G27,0)*$G27)))&gt;=AA$3,IF(EDATE($E27,MAX(0,ROUNDUP(((YEAR(AA$3)-YEAR($E27))*12+MONTH(AA$3)-MONTH($E27))/$G27,0)*$G27))&lt;AA$3,EDATE($E27,MAX(0,ROUNDUP(((YEAR(AA$3)-YEAR($E27))*12+MONTH(AA$3)-MONTH($E27))/$G27,0)*$G27)+$G27),EDATE($E27,MAX(0,ROUNDUP(((YEAR(AA$3)-YEAR($E27))*12+MONTH(AA$3)-MONTH($E27))/$G27,0)*$G27)))&lt;=IF($F27="",AA$4,MIN(AA$4,$F27))),1,0)))))</f>
        <v>0</v>
      </c>
      <c r="AB27" s="25" t="n">
        <f aca="false">IF(OR($C27="",$C27=0,$E27="",$B27="",$G27=-2),0,$C27*IF($G27=0,IF(IF($F27="",AB$4,MIN(AB$4,$F27))&lt;$E27,0,MAX(0,INT((IF($F27="",AB$4,MIN(AB$4,$F27))-$E27)/7)+1-MAX(0,ROUNDUP((AB$3-$E27)/7,0)))),IF($G27=101,(AND(EOMONTH(AB$3,0)&gt;=MAX(AB$3,$E27),EOMONTH(AB$3,0)&lt;=IF($F27="",AB$4,MIN(AB$4,$F27)))*1+AND(EOMONTH(AB$4,0)&lt;&gt;EOMONTH(AB$3,0),EOMONTH(AB$4,0)&gt;=MAX(AB$3,$E27),EOMONTH(AB$4,0)&lt;=IF($F27="",AB$4,MIN(AB$4,$F27)))*1),IF($G27=102,(AND(WORKDAY(EOMONTH(AB$3,0)+1,-3)&gt;=MAX(AB$3,$E27),WORKDAY(EOMONTH(AB$3,0)+1,-3)&lt;=IF($F27="",AB$4,MIN(AB$4,$F27)))*1+AND(WORKDAY(EOMONTH(AB$4,0)+1,-3)&lt;&gt;WORKDAY(EOMONTH(AB$3,0)+1,-3),WORKDAY(EOMONTH(AB$4,0)+1,-3)&gt;=MAX(AB$3,$E27),WORKDAY(EOMONTH(AB$4,0)+1,-3)&lt;=IF($F27="",AB$4,MIN(AB$4,$F27)))*1),IF(AND(IF(EDATE($E27,MAX(0,ROUNDUP(((YEAR(AB$3)-YEAR($E27))*12+MONTH(AB$3)-MONTH($E27))/$G27,0)*$G27))&lt;AB$3,EDATE($E27,MAX(0,ROUNDUP(((YEAR(AB$3)-YEAR($E27))*12+MONTH(AB$3)-MONTH($E27))/$G27,0)*$G27)+$G27),EDATE($E27,MAX(0,ROUNDUP(((YEAR(AB$3)-YEAR($E27))*12+MONTH(AB$3)-MONTH($E27))/$G27,0)*$G27)))&gt;=AB$3,IF(EDATE($E27,MAX(0,ROUNDUP(((YEAR(AB$3)-YEAR($E27))*12+MONTH(AB$3)-MONTH($E27))/$G27,0)*$G27))&lt;AB$3,EDATE($E27,MAX(0,ROUNDUP(((YEAR(AB$3)-YEAR($E27))*12+MONTH(AB$3)-MONTH($E27))/$G27,0)*$G27)+$G27),EDATE($E27,MAX(0,ROUNDUP(((YEAR(AB$3)-YEAR($E27))*12+MONTH(AB$3)-MONTH($E27))/$G27,0)*$G27)))&lt;=IF($F27="",AB$4,MIN(AB$4,$F27))),1,0)))))</f>
        <v>0</v>
      </c>
      <c r="AC27" s="25" t="n">
        <f aca="false">IF(OR($C27="",$C27=0,$E27="",$B27="",$G27=-2),0,$C27*IF($G27=0,IF(IF($F27="",AC$4,MIN(AC$4,$F27))&lt;$E27,0,MAX(0,INT((IF($F27="",AC$4,MIN(AC$4,$F27))-$E27)/7)+1-MAX(0,ROUNDUP((AC$3-$E27)/7,0)))),IF($G27=101,(AND(EOMONTH(AC$3,0)&gt;=MAX(AC$3,$E27),EOMONTH(AC$3,0)&lt;=IF($F27="",AC$4,MIN(AC$4,$F27)))*1+AND(EOMONTH(AC$4,0)&lt;&gt;EOMONTH(AC$3,0),EOMONTH(AC$4,0)&gt;=MAX(AC$3,$E27),EOMONTH(AC$4,0)&lt;=IF($F27="",AC$4,MIN(AC$4,$F27)))*1),IF($G27=102,(AND(WORKDAY(EOMONTH(AC$3,0)+1,-3)&gt;=MAX(AC$3,$E27),WORKDAY(EOMONTH(AC$3,0)+1,-3)&lt;=IF($F27="",AC$4,MIN(AC$4,$F27)))*1+AND(WORKDAY(EOMONTH(AC$4,0)+1,-3)&lt;&gt;WORKDAY(EOMONTH(AC$3,0)+1,-3),WORKDAY(EOMONTH(AC$4,0)+1,-3)&gt;=MAX(AC$3,$E27),WORKDAY(EOMONTH(AC$4,0)+1,-3)&lt;=IF($F27="",AC$4,MIN(AC$4,$F27)))*1),IF(AND(IF(EDATE($E27,MAX(0,ROUNDUP(((YEAR(AC$3)-YEAR($E27))*12+MONTH(AC$3)-MONTH($E27))/$G27,0)*$G27))&lt;AC$3,EDATE($E27,MAX(0,ROUNDUP(((YEAR(AC$3)-YEAR($E27))*12+MONTH(AC$3)-MONTH($E27))/$G27,0)*$G27)+$G27),EDATE($E27,MAX(0,ROUNDUP(((YEAR(AC$3)-YEAR($E27))*12+MONTH(AC$3)-MONTH($E27))/$G27,0)*$G27)))&gt;=AC$3,IF(EDATE($E27,MAX(0,ROUNDUP(((YEAR(AC$3)-YEAR($E27))*12+MONTH(AC$3)-MONTH($E27))/$G27,0)*$G27))&lt;AC$3,EDATE($E27,MAX(0,ROUNDUP(((YEAR(AC$3)-YEAR($E27))*12+MONTH(AC$3)-MONTH($E27))/$G27,0)*$G27)+$G27),EDATE($E27,MAX(0,ROUNDUP(((YEAR(AC$3)-YEAR($E27))*12+MONTH(AC$3)-MONTH($E27))/$G27,0)*$G27)))&lt;=IF($F27="",AC$4,MIN(AC$4,$F27))),1,0)))))</f>
        <v>0</v>
      </c>
      <c r="AD27" s="25" t="n">
        <f aca="false">IF(OR($C27="",$C27=0,$E27="",$B27="",$G27=-2),0,$C27*IF($G27=0,IF(IF($F27="",AD$4,MIN(AD$4,$F27))&lt;$E27,0,MAX(0,INT((IF($F27="",AD$4,MIN(AD$4,$F27))-$E27)/7)+1-MAX(0,ROUNDUP((AD$3-$E27)/7,0)))),IF($G27=101,(AND(EOMONTH(AD$3,0)&gt;=MAX(AD$3,$E27),EOMONTH(AD$3,0)&lt;=IF($F27="",AD$4,MIN(AD$4,$F27)))*1+AND(EOMONTH(AD$4,0)&lt;&gt;EOMONTH(AD$3,0),EOMONTH(AD$4,0)&gt;=MAX(AD$3,$E27),EOMONTH(AD$4,0)&lt;=IF($F27="",AD$4,MIN(AD$4,$F27)))*1),IF($G27=102,(AND(WORKDAY(EOMONTH(AD$3,0)+1,-3)&gt;=MAX(AD$3,$E27),WORKDAY(EOMONTH(AD$3,0)+1,-3)&lt;=IF($F27="",AD$4,MIN(AD$4,$F27)))*1+AND(WORKDAY(EOMONTH(AD$4,0)+1,-3)&lt;&gt;WORKDAY(EOMONTH(AD$3,0)+1,-3),WORKDAY(EOMONTH(AD$4,0)+1,-3)&gt;=MAX(AD$3,$E27),WORKDAY(EOMONTH(AD$4,0)+1,-3)&lt;=IF($F27="",AD$4,MIN(AD$4,$F27)))*1),IF(AND(IF(EDATE($E27,MAX(0,ROUNDUP(((YEAR(AD$3)-YEAR($E27))*12+MONTH(AD$3)-MONTH($E27))/$G27,0)*$G27))&lt;AD$3,EDATE($E27,MAX(0,ROUNDUP(((YEAR(AD$3)-YEAR($E27))*12+MONTH(AD$3)-MONTH($E27))/$G27,0)*$G27)+$G27),EDATE($E27,MAX(0,ROUNDUP(((YEAR(AD$3)-YEAR($E27))*12+MONTH(AD$3)-MONTH($E27))/$G27,0)*$G27)))&gt;=AD$3,IF(EDATE($E27,MAX(0,ROUNDUP(((YEAR(AD$3)-YEAR($E27))*12+MONTH(AD$3)-MONTH($E27))/$G27,0)*$G27))&lt;AD$3,EDATE($E27,MAX(0,ROUNDUP(((YEAR(AD$3)-YEAR($E27))*12+MONTH(AD$3)-MONTH($E27))/$G27,0)*$G27)+$G27),EDATE($E27,MAX(0,ROUNDUP(((YEAR(AD$3)-YEAR($E27))*12+MONTH(AD$3)-MONTH($E27))/$G27,0)*$G27)))&lt;=IF($F27="",AD$4,MIN(AD$4,$F27))),1,0)))))</f>
        <v>0</v>
      </c>
      <c r="AE27" s="25" t="n">
        <f aca="false">IF(OR($C27="",$C27=0,$E27="",$B27="",$G27=-2),0,$C27*IF($G27=0,IF(IF($F27="",AE$4,MIN(AE$4,$F27))&lt;$E27,0,MAX(0,INT((IF($F27="",AE$4,MIN(AE$4,$F27))-$E27)/7)+1-MAX(0,ROUNDUP((AE$3-$E27)/7,0)))),IF($G27=101,(AND(EOMONTH(AE$3,0)&gt;=MAX(AE$3,$E27),EOMONTH(AE$3,0)&lt;=IF($F27="",AE$4,MIN(AE$4,$F27)))*1+AND(EOMONTH(AE$4,0)&lt;&gt;EOMONTH(AE$3,0),EOMONTH(AE$4,0)&gt;=MAX(AE$3,$E27),EOMONTH(AE$4,0)&lt;=IF($F27="",AE$4,MIN(AE$4,$F27)))*1),IF($G27=102,(AND(WORKDAY(EOMONTH(AE$3,0)+1,-3)&gt;=MAX(AE$3,$E27),WORKDAY(EOMONTH(AE$3,0)+1,-3)&lt;=IF($F27="",AE$4,MIN(AE$4,$F27)))*1+AND(WORKDAY(EOMONTH(AE$4,0)+1,-3)&lt;&gt;WORKDAY(EOMONTH(AE$3,0)+1,-3),WORKDAY(EOMONTH(AE$4,0)+1,-3)&gt;=MAX(AE$3,$E27),WORKDAY(EOMONTH(AE$4,0)+1,-3)&lt;=IF($F27="",AE$4,MIN(AE$4,$F27)))*1),IF(AND(IF(EDATE($E27,MAX(0,ROUNDUP(((YEAR(AE$3)-YEAR($E27))*12+MONTH(AE$3)-MONTH($E27))/$G27,0)*$G27))&lt;AE$3,EDATE($E27,MAX(0,ROUNDUP(((YEAR(AE$3)-YEAR($E27))*12+MONTH(AE$3)-MONTH($E27))/$G27,0)*$G27)+$G27),EDATE($E27,MAX(0,ROUNDUP(((YEAR(AE$3)-YEAR($E27))*12+MONTH(AE$3)-MONTH($E27))/$G27,0)*$G27)))&gt;=AE$3,IF(EDATE($E27,MAX(0,ROUNDUP(((YEAR(AE$3)-YEAR($E27))*12+MONTH(AE$3)-MONTH($E27))/$G27,0)*$G27))&lt;AE$3,EDATE($E27,MAX(0,ROUNDUP(((YEAR(AE$3)-YEAR($E27))*12+MONTH(AE$3)-MONTH($E27))/$G27,0)*$G27)+$G27),EDATE($E27,MAX(0,ROUNDUP(((YEAR(AE$3)-YEAR($E27))*12+MONTH(AE$3)-MONTH($E27))/$G27,0)*$G27)))&lt;=IF($F27="",AE$4,MIN(AE$4,$F27))),1,0)))))</f>
        <v>0</v>
      </c>
      <c r="AF27" s="25" t="n">
        <f aca="false">IF(OR($C27="",$C27=0,$E27="",$B27="",$G27=-2),0,$C27*IF($G27=0,IF(IF($F27="",AF$4,MIN(AF$4,$F27))&lt;$E27,0,MAX(0,INT((IF($F27="",AF$4,MIN(AF$4,$F27))-$E27)/7)+1-MAX(0,ROUNDUP((AF$3-$E27)/7,0)))),IF($G27=101,(AND(EOMONTH(AF$3,0)&gt;=MAX(AF$3,$E27),EOMONTH(AF$3,0)&lt;=IF($F27="",AF$4,MIN(AF$4,$F27)))*1+AND(EOMONTH(AF$4,0)&lt;&gt;EOMONTH(AF$3,0),EOMONTH(AF$4,0)&gt;=MAX(AF$3,$E27),EOMONTH(AF$4,0)&lt;=IF($F27="",AF$4,MIN(AF$4,$F27)))*1),IF($G27=102,(AND(WORKDAY(EOMONTH(AF$3,0)+1,-3)&gt;=MAX(AF$3,$E27),WORKDAY(EOMONTH(AF$3,0)+1,-3)&lt;=IF($F27="",AF$4,MIN(AF$4,$F27)))*1+AND(WORKDAY(EOMONTH(AF$4,0)+1,-3)&lt;&gt;WORKDAY(EOMONTH(AF$3,0)+1,-3),WORKDAY(EOMONTH(AF$4,0)+1,-3)&gt;=MAX(AF$3,$E27),WORKDAY(EOMONTH(AF$4,0)+1,-3)&lt;=IF($F27="",AF$4,MIN(AF$4,$F27)))*1),IF(AND(IF(EDATE($E27,MAX(0,ROUNDUP(((YEAR(AF$3)-YEAR($E27))*12+MONTH(AF$3)-MONTH($E27))/$G27,0)*$G27))&lt;AF$3,EDATE($E27,MAX(0,ROUNDUP(((YEAR(AF$3)-YEAR($E27))*12+MONTH(AF$3)-MONTH($E27))/$G27,0)*$G27)+$G27),EDATE($E27,MAX(0,ROUNDUP(((YEAR(AF$3)-YEAR($E27))*12+MONTH(AF$3)-MONTH($E27))/$G27,0)*$G27)))&gt;=AF$3,IF(EDATE($E27,MAX(0,ROUNDUP(((YEAR(AF$3)-YEAR($E27))*12+MONTH(AF$3)-MONTH($E27))/$G27,0)*$G27))&lt;AF$3,EDATE($E27,MAX(0,ROUNDUP(((YEAR(AF$3)-YEAR($E27))*12+MONTH(AF$3)-MONTH($E27))/$G27,0)*$G27)+$G27),EDATE($E27,MAX(0,ROUNDUP(((YEAR(AF$3)-YEAR($E27))*12+MONTH(AF$3)-MONTH($E27))/$G27,0)*$G27)))&lt;=IF($F27="",AF$4,MIN(AF$4,$F27))),1,0)))))</f>
        <v>0</v>
      </c>
    </row>
    <row r="28" customFormat="false" ht="15" hidden="false" customHeight="false" outlineLevel="0" collapsed="false">
      <c r="A28" s="5"/>
      <c r="B28" s="5"/>
      <c r="C28" s="8"/>
      <c r="D28" s="5"/>
      <c r="E28" s="7"/>
      <c r="F28" s="7"/>
      <c r="G28" s="24" t="n">
        <f aca="false">IFERROR(INDEX(Listen!$E$2:$E$8,MATCH(D28,Listen!$D$2:$D$8,0)),-2)</f>
        <v>-2</v>
      </c>
      <c r="H28" s="25" t="n">
        <f aca="false">IF(OR($C28="",$C28=0,$E28="",$B28="",$G28=-2),0,$C28*IF($G28=0,IF(IF($F28="",H$4,MIN(H$4,$F28))&lt;$E28,0,MAX(0,INT((IF($F28="",H$4,MIN(H$4,$F28))-$E28)/7)+1-MAX(0,ROUNDUP((H$3-$E28)/7,0)))),IF($G28=101,(AND(EOMONTH(H$3,0)&gt;=MAX(H$3,$E28),EOMONTH(H$3,0)&lt;=IF($F28="",H$4,MIN(H$4,$F28)))*1+AND(EOMONTH(H$4,0)&lt;&gt;EOMONTH(H$3,0),EOMONTH(H$4,0)&gt;=MAX(H$3,$E28),EOMONTH(H$4,0)&lt;=IF($F28="",H$4,MIN(H$4,$F28)))*1),IF($G28=102,(AND(WORKDAY(EOMONTH(H$3,0)+1,-3)&gt;=MAX(H$3,$E28),WORKDAY(EOMONTH(H$3,0)+1,-3)&lt;=IF($F28="",H$4,MIN(H$4,$F28)))*1+AND(WORKDAY(EOMONTH(H$4,0)+1,-3)&lt;&gt;WORKDAY(EOMONTH(H$3,0)+1,-3),WORKDAY(EOMONTH(H$4,0)+1,-3)&gt;=MAX(H$3,$E28),WORKDAY(EOMONTH(H$4,0)+1,-3)&lt;=IF($F28="",H$4,MIN(H$4,$F28)))*1),IF(AND(IF(EDATE($E28,MAX(0,ROUNDUP(((YEAR(H$3)-YEAR($E28))*12+MONTH(H$3)-MONTH($E28))/$G28,0)*$G28))&lt;H$3,EDATE($E28,MAX(0,ROUNDUP(((YEAR(H$3)-YEAR($E28))*12+MONTH(H$3)-MONTH($E28))/$G28,0)*$G28)+$G28),EDATE($E28,MAX(0,ROUNDUP(((YEAR(H$3)-YEAR($E28))*12+MONTH(H$3)-MONTH($E28))/$G28,0)*$G28)))&gt;=H$3,IF(EDATE($E28,MAX(0,ROUNDUP(((YEAR(H$3)-YEAR($E28))*12+MONTH(H$3)-MONTH($E28))/$G28,0)*$G28))&lt;H$3,EDATE($E28,MAX(0,ROUNDUP(((YEAR(H$3)-YEAR($E28))*12+MONTH(H$3)-MONTH($E28))/$G28,0)*$G28)+$G28),EDATE($E28,MAX(0,ROUNDUP(((YEAR(H$3)-YEAR($E28))*12+MONTH(H$3)-MONTH($E28))/$G28,0)*$G28)))&lt;=IF($F28="",H$4,MIN(H$4,$F28))),1,0)))))</f>
        <v>0</v>
      </c>
      <c r="I28" s="25" t="n">
        <f aca="false">IF(OR($C28="",$C28=0,$E28="",$B28="",$G28=-2),0,$C28*IF($G28=0,IF(IF($F28="",I$4,MIN(I$4,$F28))&lt;$E28,0,MAX(0,INT((IF($F28="",I$4,MIN(I$4,$F28))-$E28)/7)+1-MAX(0,ROUNDUP((I$3-$E28)/7,0)))),IF($G28=101,(AND(EOMONTH(I$3,0)&gt;=MAX(I$3,$E28),EOMONTH(I$3,0)&lt;=IF($F28="",I$4,MIN(I$4,$F28)))*1+AND(EOMONTH(I$4,0)&lt;&gt;EOMONTH(I$3,0),EOMONTH(I$4,0)&gt;=MAX(I$3,$E28),EOMONTH(I$4,0)&lt;=IF($F28="",I$4,MIN(I$4,$F28)))*1),IF($G28=102,(AND(WORKDAY(EOMONTH(I$3,0)+1,-3)&gt;=MAX(I$3,$E28),WORKDAY(EOMONTH(I$3,0)+1,-3)&lt;=IF($F28="",I$4,MIN(I$4,$F28)))*1+AND(WORKDAY(EOMONTH(I$4,0)+1,-3)&lt;&gt;WORKDAY(EOMONTH(I$3,0)+1,-3),WORKDAY(EOMONTH(I$4,0)+1,-3)&gt;=MAX(I$3,$E28),WORKDAY(EOMONTH(I$4,0)+1,-3)&lt;=IF($F28="",I$4,MIN(I$4,$F28)))*1),IF(AND(IF(EDATE($E28,MAX(0,ROUNDUP(((YEAR(I$3)-YEAR($E28))*12+MONTH(I$3)-MONTH($E28))/$G28,0)*$G28))&lt;I$3,EDATE($E28,MAX(0,ROUNDUP(((YEAR(I$3)-YEAR($E28))*12+MONTH(I$3)-MONTH($E28))/$G28,0)*$G28)+$G28),EDATE($E28,MAX(0,ROUNDUP(((YEAR(I$3)-YEAR($E28))*12+MONTH(I$3)-MONTH($E28))/$G28,0)*$G28)))&gt;=I$3,IF(EDATE($E28,MAX(0,ROUNDUP(((YEAR(I$3)-YEAR($E28))*12+MONTH(I$3)-MONTH($E28))/$G28,0)*$G28))&lt;I$3,EDATE($E28,MAX(0,ROUNDUP(((YEAR(I$3)-YEAR($E28))*12+MONTH(I$3)-MONTH($E28))/$G28,0)*$G28)+$G28),EDATE($E28,MAX(0,ROUNDUP(((YEAR(I$3)-YEAR($E28))*12+MONTH(I$3)-MONTH($E28))/$G28,0)*$G28)))&lt;=IF($F28="",I$4,MIN(I$4,$F28))),1,0)))))</f>
        <v>0</v>
      </c>
      <c r="J28" s="25" t="n">
        <f aca="false">IF(OR($C28="",$C28=0,$E28="",$B28="",$G28=-2),0,$C28*IF($G28=0,IF(IF($F28="",J$4,MIN(J$4,$F28))&lt;$E28,0,MAX(0,INT((IF($F28="",J$4,MIN(J$4,$F28))-$E28)/7)+1-MAX(0,ROUNDUP((J$3-$E28)/7,0)))),IF($G28=101,(AND(EOMONTH(J$3,0)&gt;=MAX(J$3,$E28),EOMONTH(J$3,0)&lt;=IF($F28="",J$4,MIN(J$4,$F28)))*1+AND(EOMONTH(J$4,0)&lt;&gt;EOMONTH(J$3,0),EOMONTH(J$4,0)&gt;=MAX(J$3,$E28),EOMONTH(J$4,0)&lt;=IF($F28="",J$4,MIN(J$4,$F28)))*1),IF($G28=102,(AND(WORKDAY(EOMONTH(J$3,0)+1,-3)&gt;=MAX(J$3,$E28),WORKDAY(EOMONTH(J$3,0)+1,-3)&lt;=IF($F28="",J$4,MIN(J$4,$F28)))*1+AND(WORKDAY(EOMONTH(J$4,0)+1,-3)&lt;&gt;WORKDAY(EOMONTH(J$3,0)+1,-3),WORKDAY(EOMONTH(J$4,0)+1,-3)&gt;=MAX(J$3,$E28),WORKDAY(EOMONTH(J$4,0)+1,-3)&lt;=IF($F28="",J$4,MIN(J$4,$F28)))*1),IF(AND(IF(EDATE($E28,MAX(0,ROUNDUP(((YEAR(J$3)-YEAR($E28))*12+MONTH(J$3)-MONTH($E28))/$G28,0)*$G28))&lt;J$3,EDATE($E28,MAX(0,ROUNDUP(((YEAR(J$3)-YEAR($E28))*12+MONTH(J$3)-MONTH($E28))/$G28,0)*$G28)+$G28),EDATE($E28,MAX(0,ROUNDUP(((YEAR(J$3)-YEAR($E28))*12+MONTH(J$3)-MONTH($E28))/$G28,0)*$G28)))&gt;=J$3,IF(EDATE($E28,MAX(0,ROUNDUP(((YEAR(J$3)-YEAR($E28))*12+MONTH(J$3)-MONTH($E28))/$G28,0)*$G28))&lt;J$3,EDATE($E28,MAX(0,ROUNDUP(((YEAR(J$3)-YEAR($E28))*12+MONTH(J$3)-MONTH($E28))/$G28,0)*$G28)+$G28),EDATE($E28,MAX(0,ROUNDUP(((YEAR(J$3)-YEAR($E28))*12+MONTH(J$3)-MONTH($E28))/$G28,0)*$G28)))&lt;=IF($F28="",J$4,MIN(J$4,$F28))),1,0)))))</f>
        <v>0</v>
      </c>
      <c r="K28" s="25" t="n">
        <f aca="false">IF(OR($C28="",$C28=0,$E28="",$B28="",$G28=-2),0,$C28*IF($G28=0,IF(IF($F28="",K$4,MIN(K$4,$F28))&lt;$E28,0,MAX(0,INT((IF($F28="",K$4,MIN(K$4,$F28))-$E28)/7)+1-MAX(0,ROUNDUP((K$3-$E28)/7,0)))),IF($G28=101,(AND(EOMONTH(K$3,0)&gt;=MAX(K$3,$E28),EOMONTH(K$3,0)&lt;=IF($F28="",K$4,MIN(K$4,$F28)))*1+AND(EOMONTH(K$4,0)&lt;&gt;EOMONTH(K$3,0),EOMONTH(K$4,0)&gt;=MAX(K$3,$E28),EOMONTH(K$4,0)&lt;=IF($F28="",K$4,MIN(K$4,$F28)))*1),IF($G28=102,(AND(WORKDAY(EOMONTH(K$3,0)+1,-3)&gt;=MAX(K$3,$E28),WORKDAY(EOMONTH(K$3,0)+1,-3)&lt;=IF($F28="",K$4,MIN(K$4,$F28)))*1+AND(WORKDAY(EOMONTH(K$4,0)+1,-3)&lt;&gt;WORKDAY(EOMONTH(K$3,0)+1,-3),WORKDAY(EOMONTH(K$4,0)+1,-3)&gt;=MAX(K$3,$E28),WORKDAY(EOMONTH(K$4,0)+1,-3)&lt;=IF($F28="",K$4,MIN(K$4,$F28)))*1),IF(AND(IF(EDATE($E28,MAX(0,ROUNDUP(((YEAR(K$3)-YEAR($E28))*12+MONTH(K$3)-MONTH($E28))/$G28,0)*$G28))&lt;K$3,EDATE($E28,MAX(0,ROUNDUP(((YEAR(K$3)-YEAR($E28))*12+MONTH(K$3)-MONTH($E28))/$G28,0)*$G28)+$G28),EDATE($E28,MAX(0,ROUNDUP(((YEAR(K$3)-YEAR($E28))*12+MONTH(K$3)-MONTH($E28))/$G28,0)*$G28)))&gt;=K$3,IF(EDATE($E28,MAX(0,ROUNDUP(((YEAR(K$3)-YEAR($E28))*12+MONTH(K$3)-MONTH($E28))/$G28,0)*$G28))&lt;K$3,EDATE($E28,MAX(0,ROUNDUP(((YEAR(K$3)-YEAR($E28))*12+MONTH(K$3)-MONTH($E28))/$G28,0)*$G28)+$G28),EDATE($E28,MAX(0,ROUNDUP(((YEAR(K$3)-YEAR($E28))*12+MONTH(K$3)-MONTH($E28))/$G28,0)*$G28)))&lt;=IF($F28="",K$4,MIN(K$4,$F28))),1,0)))))</f>
        <v>0</v>
      </c>
      <c r="L28" s="25" t="n">
        <f aca="false">IF(OR($C28="",$C28=0,$E28="",$B28="",$G28=-2),0,$C28*IF($G28=0,IF(IF($F28="",L$4,MIN(L$4,$F28))&lt;$E28,0,MAX(0,INT((IF($F28="",L$4,MIN(L$4,$F28))-$E28)/7)+1-MAX(0,ROUNDUP((L$3-$E28)/7,0)))),IF($G28=101,(AND(EOMONTH(L$3,0)&gt;=MAX(L$3,$E28),EOMONTH(L$3,0)&lt;=IF($F28="",L$4,MIN(L$4,$F28)))*1+AND(EOMONTH(L$4,0)&lt;&gt;EOMONTH(L$3,0),EOMONTH(L$4,0)&gt;=MAX(L$3,$E28),EOMONTH(L$4,0)&lt;=IF($F28="",L$4,MIN(L$4,$F28)))*1),IF($G28=102,(AND(WORKDAY(EOMONTH(L$3,0)+1,-3)&gt;=MAX(L$3,$E28),WORKDAY(EOMONTH(L$3,0)+1,-3)&lt;=IF($F28="",L$4,MIN(L$4,$F28)))*1+AND(WORKDAY(EOMONTH(L$4,0)+1,-3)&lt;&gt;WORKDAY(EOMONTH(L$3,0)+1,-3),WORKDAY(EOMONTH(L$4,0)+1,-3)&gt;=MAX(L$3,$E28),WORKDAY(EOMONTH(L$4,0)+1,-3)&lt;=IF($F28="",L$4,MIN(L$4,$F28)))*1),IF(AND(IF(EDATE($E28,MAX(0,ROUNDUP(((YEAR(L$3)-YEAR($E28))*12+MONTH(L$3)-MONTH($E28))/$G28,0)*$G28))&lt;L$3,EDATE($E28,MAX(0,ROUNDUP(((YEAR(L$3)-YEAR($E28))*12+MONTH(L$3)-MONTH($E28))/$G28,0)*$G28)+$G28),EDATE($E28,MAX(0,ROUNDUP(((YEAR(L$3)-YEAR($E28))*12+MONTH(L$3)-MONTH($E28))/$G28,0)*$G28)))&gt;=L$3,IF(EDATE($E28,MAX(0,ROUNDUP(((YEAR(L$3)-YEAR($E28))*12+MONTH(L$3)-MONTH($E28))/$G28,0)*$G28))&lt;L$3,EDATE($E28,MAX(0,ROUNDUP(((YEAR(L$3)-YEAR($E28))*12+MONTH(L$3)-MONTH($E28))/$G28,0)*$G28)+$G28),EDATE($E28,MAX(0,ROUNDUP(((YEAR(L$3)-YEAR($E28))*12+MONTH(L$3)-MONTH($E28))/$G28,0)*$G28)))&lt;=IF($F28="",L$4,MIN(L$4,$F28))),1,0)))))</f>
        <v>0</v>
      </c>
      <c r="M28" s="25" t="n">
        <f aca="false">IF(OR($C28="",$C28=0,$E28="",$B28="",$G28=-2),0,$C28*IF($G28=0,IF(IF($F28="",M$4,MIN(M$4,$F28))&lt;$E28,0,MAX(0,INT((IF($F28="",M$4,MIN(M$4,$F28))-$E28)/7)+1-MAX(0,ROUNDUP((M$3-$E28)/7,0)))),IF($G28=101,(AND(EOMONTH(M$3,0)&gt;=MAX(M$3,$E28),EOMONTH(M$3,0)&lt;=IF($F28="",M$4,MIN(M$4,$F28)))*1+AND(EOMONTH(M$4,0)&lt;&gt;EOMONTH(M$3,0),EOMONTH(M$4,0)&gt;=MAX(M$3,$E28),EOMONTH(M$4,0)&lt;=IF($F28="",M$4,MIN(M$4,$F28)))*1),IF($G28=102,(AND(WORKDAY(EOMONTH(M$3,0)+1,-3)&gt;=MAX(M$3,$E28),WORKDAY(EOMONTH(M$3,0)+1,-3)&lt;=IF($F28="",M$4,MIN(M$4,$F28)))*1+AND(WORKDAY(EOMONTH(M$4,0)+1,-3)&lt;&gt;WORKDAY(EOMONTH(M$3,0)+1,-3),WORKDAY(EOMONTH(M$4,0)+1,-3)&gt;=MAX(M$3,$E28),WORKDAY(EOMONTH(M$4,0)+1,-3)&lt;=IF($F28="",M$4,MIN(M$4,$F28)))*1),IF(AND(IF(EDATE($E28,MAX(0,ROUNDUP(((YEAR(M$3)-YEAR($E28))*12+MONTH(M$3)-MONTH($E28))/$G28,0)*$G28))&lt;M$3,EDATE($E28,MAX(0,ROUNDUP(((YEAR(M$3)-YEAR($E28))*12+MONTH(M$3)-MONTH($E28))/$G28,0)*$G28)+$G28),EDATE($E28,MAX(0,ROUNDUP(((YEAR(M$3)-YEAR($E28))*12+MONTH(M$3)-MONTH($E28))/$G28,0)*$G28)))&gt;=M$3,IF(EDATE($E28,MAX(0,ROUNDUP(((YEAR(M$3)-YEAR($E28))*12+MONTH(M$3)-MONTH($E28))/$G28,0)*$G28))&lt;M$3,EDATE($E28,MAX(0,ROUNDUP(((YEAR(M$3)-YEAR($E28))*12+MONTH(M$3)-MONTH($E28))/$G28,0)*$G28)+$G28),EDATE($E28,MAX(0,ROUNDUP(((YEAR(M$3)-YEAR($E28))*12+MONTH(M$3)-MONTH($E28))/$G28,0)*$G28)))&lt;=IF($F28="",M$4,MIN(M$4,$F28))),1,0)))))</f>
        <v>0</v>
      </c>
      <c r="N28" s="25" t="n">
        <f aca="false">IF(OR($C28="",$C28=0,$E28="",$B28="",$G28=-2),0,$C28*IF($G28=0,IF(IF($F28="",N$4,MIN(N$4,$F28))&lt;$E28,0,MAX(0,INT((IF($F28="",N$4,MIN(N$4,$F28))-$E28)/7)+1-MAX(0,ROUNDUP((N$3-$E28)/7,0)))),IF($G28=101,(AND(EOMONTH(N$3,0)&gt;=MAX(N$3,$E28),EOMONTH(N$3,0)&lt;=IF($F28="",N$4,MIN(N$4,$F28)))*1+AND(EOMONTH(N$4,0)&lt;&gt;EOMONTH(N$3,0),EOMONTH(N$4,0)&gt;=MAX(N$3,$E28),EOMONTH(N$4,0)&lt;=IF($F28="",N$4,MIN(N$4,$F28)))*1),IF($G28=102,(AND(WORKDAY(EOMONTH(N$3,0)+1,-3)&gt;=MAX(N$3,$E28),WORKDAY(EOMONTH(N$3,0)+1,-3)&lt;=IF($F28="",N$4,MIN(N$4,$F28)))*1+AND(WORKDAY(EOMONTH(N$4,0)+1,-3)&lt;&gt;WORKDAY(EOMONTH(N$3,0)+1,-3),WORKDAY(EOMONTH(N$4,0)+1,-3)&gt;=MAX(N$3,$E28),WORKDAY(EOMONTH(N$4,0)+1,-3)&lt;=IF($F28="",N$4,MIN(N$4,$F28)))*1),IF(AND(IF(EDATE($E28,MAX(0,ROUNDUP(((YEAR(N$3)-YEAR($E28))*12+MONTH(N$3)-MONTH($E28))/$G28,0)*$G28))&lt;N$3,EDATE($E28,MAX(0,ROUNDUP(((YEAR(N$3)-YEAR($E28))*12+MONTH(N$3)-MONTH($E28))/$G28,0)*$G28)+$G28),EDATE($E28,MAX(0,ROUNDUP(((YEAR(N$3)-YEAR($E28))*12+MONTH(N$3)-MONTH($E28))/$G28,0)*$G28)))&gt;=N$3,IF(EDATE($E28,MAX(0,ROUNDUP(((YEAR(N$3)-YEAR($E28))*12+MONTH(N$3)-MONTH($E28))/$G28,0)*$G28))&lt;N$3,EDATE($E28,MAX(0,ROUNDUP(((YEAR(N$3)-YEAR($E28))*12+MONTH(N$3)-MONTH($E28))/$G28,0)*$G28)+$G28),EDATE($E28,MAX(0,ROUNDUP(((YEAR(N$3)-YEAR($E28))*12+MONTH(N$3)-MONTH($E28))/$G28,0)*$G28)))&lt;=IF($F28="",N$4,MIN(N$4,$F28))),1,0)))))</f>
        <v>0</v>
      </c>
      <c r="O28" s="25" t="n">
        <f aca="false">IF(OR($C28="",$C28=0,$E28="",$B28="",$G28=-2),0,$C28*IF($G28=0,IF(IF($F28="",O$4,MIN(O$4,$F28))&lt;$E28,0,MAX(0,INT((IF($F28="",O$4,MIN(O$4,$F28))-$E28)/7)+1-MAX(0,ROUNDUP((O$3-$E28)/7,0)))),IF($G28=101,(AND(EOMONTH(O$3,0)&gt;=MAX(O$3,$E28),EOMONTH(O$3,0)&lt;=IF($F28="",O$4,MIN(O$4,$F28)))*1+AND(EOMONTH(O$4,0)&lt;&gt;EOMONTH(O$3,0),EOMONTH(O$4,0)&gt;=MAX(O$3,$E28),EOMONTH(O$4,0)&lt;=IF($F28="",O$4,MIN(O$4,$F28)))*1),IF($G28=102,(AND(WORKDAY(EOMONTH(O$3,0)+1,-3)&gt;=MAX(O$3,$E28),WORKDAY(EOMONTH(O$3,0)+1,-3)&lt;=IF($F28="",O$4,MIN(O$4,$F28)))*1+AND(WORKDAY(EOMONTH(O$4,0)+1,-3)&lt;&gt;WORKDAY(EOMONTH(O$3,0)+1,-3),WORKDAY(EOMONTH(O$4,0)+1,-3)&gt;=MAX(O$3,$E28),WORKDAY(EOMONTH(O$4,0)+1,-3)&lt;=IF($F28="",O$4,MIN(O$4,$F28)))*1),IF(AND(IF(EDATE($E28,MAX(0,ROUNDUP(((YEAR(O$3)-YEAR($E28))*12+MONTH(O$3)-MONTH($E28))/$G28,0)*$G28))&lt;O$3,EDATE($E28,MAX(0,ROUNDUP(((YEAR(O$3)-YEAR($E28))*12+MONTH(O$3)-MONTH($E28))/$G28,0)*$G28)+$G28),EDATE($E28,MAX(0,ROUNDUP(((YEAR(O$3)-YEAR($E28))*12+MONTH(O$3)-MONTH($E28))/$G28,0)*$G28)))&gt;=O$3,IF(EDATE($E28,MAX(0,ROUNDUP(((YEAR(O$3)-YEAR($E28))*12+MONTH(O$3)-MONTH($E28))/$G28,0)*$G28))&lt;O$3,EDATE($E28,MAX(0,ROUNDUP(((YEAR(O$3)-YEAR($E28))*12+MONTH(O$3)-MONTH($E28))/$G28,0)*$G28)+$G28),EDATE($E28,MAX(0,ROUNDUP(((YEAR(O$3)-YEAR($E28))*12+MONTH(O$3)-MONTH($E28))/$G28,0)*$G28)))&lt;=IF($F28="",O$4,MIN(O$4,$F28))),1,0)))))</f>
        <v>0</v>
      </c>
      <c r="P28" s="25" t="n">
        <f aca="false">IF(OR($C28="",$C28=0,$E28="",$B28="",$G28=-2),0,$C28*IF($G28=0,IF(IF($F28="",P$4,MIN(P$4,$F28))&lt;$E28,0,MAX(0,INT((IF($F28="",P$4,MIN(P$4,$F28))-$E28)/7)+1-MAX(0,ROUNDUP((P$3-$E28)/7,0)))),IF($G28=101,(AND(EOMONTH(P$3,0)&gt;=MAX(P$3,$E28),EOMONTH(P$3,0)&lt;=IF($F28="",P$4,MIN(P$4,$F28)))*1+AND(EOMONTH(P$4,0)&lt;&gt;EOMONTH(P$3,0),EOMONTH(P$4,0)&gt;=MAX(P$3,$E28),EOMONTH(P$4,0)&lt;=IF($F28="",P$4,MIN(P$4,$F28)))*1),IF($G28=102,(AND(WORKDAY(EOMONTH(P$3,0)+1,-3)&gt;=MAX(P$3,$E28),WORKDAY(EOMONTH(P$3,0)+1,-3)&lt;=IF($F28="",P$4,MIN(P$4,$F28)))*1+AND(WORKDAY(EOMONTH(P$4,0)+1,-3)&lt;&gt;WORKDAY(EOMONTH(P$3,0)+1,-3),WORKDAY(EOMONTH(P$4,0)+1,-3)&gt;=MAX(P$3,$E28),WORKDAY(EOMONTH(P$4,0)+1,-3)&lt;=IF($F28="",P$4,MIN(P$4,$F28)))*1),IF(AND(IF(EDATE($E28,MAX(0,ROUNDUP(((YEAR(P$3)-YEAR($E28))*12+MONTH(P$3)-MONTH($E28))/$G28,0)*$G28))&lt;P$3,EDATE($E28,MAX(0,ROUNDUP(((YEAR(P$3)-YEAR($E28))*12+MONTH(P$3)-MONTH($E28))/$G28,0)*$G28)+$G28),EDATE($E28,MAX(0,ROUNDUP(((YEAR(P$3)-YEAR($E28))*12+MONTH(P$3)-MONTH($E28))/$G28,0)*$G28)))&gt;=P$3,IF(EDATE($E28,MAX(0,ROUNDUP(((YEAR(P$3)-YEAR($E28))*12+MONTH(P$3)-MONTH($E28))/$G28,0)*$G28))&lt;P$3,EDATE($E28,MAX(0,ROUNDUP(((YEAR(P$3)-YEAR($E28))*12+MONTH(P$3)-MONTH($E28))/$G28,0)*$G28)+$G28),EDATE($E28,MAX(0,ROUNDUP(((YEAR(P$3)-YEAR($E28))*12+MONTH(P$3)-MONTH($E28))/$G28,0)*$G28)))&lt;=IF($F28="",P$4,MIN(P$4,$F28))),1,0)))))</f>
        <v>0</v>
      </c>
      <c r="Q28" s="25" t="n">
        <f aca="false">IF(OR($C28="",$C28=0,$E28="",$B28="",$G28=-2),0,$C28*IF($G28=0,IF(IF($F28="",Q$4,MIN(Q$4,$F28))&lt;$E28,0,MAX(0,INT((IF($F28="",Q$4,MIN(Q$4,$F28))-$E28)/7)+1-MAX(0,ROUNDUP((Q$3-$E28)/7,0)))),IF($G28=101,(AND(EOMONTH(Q$3,0)&gt;=MAX(Q$3,$E28),EOMONTH(Q$3,0)&lt;=IF($F28="",Q$4,MIN(Q$4,$F28)))*1+AND(EOMONTH(Q$4,0)&lt;&gt;EOMONTH(Q$3,0),EOMONTH(Q$4,0)&gt;=MAX(Q$3,$E28),EOMONTH(Q$4,0)&lt;=IF($F28="",Q$4,MIN(Q$4,$F28)))*1),IF($G28=102,(AND(WORKDAY(EOMONTH(Q$3,0)+1,-3)&gt;=MAX(Q$3,$E28),WORKDAY(EOMONTH(Q$3,0)+1,-3)&lt;=IF($F28="",Q$4,MIN(Q$4,$F28)))*1+AND(WORKDAY(EOMONTH(Q$4,0)+1,-3)&lt;&gt;WORKDAY(EOMONTH(Q$3,0)+1,-3),WORKDAY(EOMONTH(Q$4,0)+1,-3)&gt;=MAX(Q$3,$E28),WORKDAY(EOMONTH(Q$4,0)+1,-3)&lt;=IF($F28="",Q$4,MIN(Q$4,$F28)))*1),IF(AND(IF(EDATE($E28,MAX(0,ROUNDUP(((YEAR(Q$3)-YEAR($E28))*12+MONTH(Q$3)-MONTH($E28))/$G28,0)*$G28))&lt;Q$3,EDATE($E28,MAX(0,ROUNDUP(((YEAR(Q$3)-YEAR($E28))*12+MONTH(Q$3)-MONTH($E28))/$G28,0)*$G28)+$G28),EDATE($E28,MAX(0,ROUNDUP(((YEAR(Q$3)-YEAR($E28))*12+MONTH(Q$3)-MONTH($E28))/$G28,0)*$G28)))&gt;=Q$3,IF(EDATE($E28,MAX(0,ROUNDUP(((YEAR(Q$3)-YEAR($E28))*12+MONTH(Q$3)-MONTH($E28))/$G28,0)*$G28))&lt;Q$3,EDATE($E28,MAX(0,ROUNDUP(((YEAR(Q$3)-YEAR($E28))*12+MONTH(Q$3)-MONTH($E28))/$G28,0)*$G28)+$G28),EDATE($E28,MAX(0,ROUNDUP(((YEAR(Q$3)-YEAR($E28))*12+MONTH(Q$3)-MONTH($E28))/$G28,0)*$G28)))&lt;=IF($F28="",Q$4,MIN(Q$4,$F28))),1,0)))))</f>
        <v>0</v>
      </c>
      <c r="R28" s="25" t="n">
        <f aca="false">IF(OR($C28="",$C28=0,$E28="",$B28="",$G28=-2),0,$C28*IF($G28=0,IF(IF($F28="",R$4,MIN(R$4,$F28))&lt;$E28,0,MAX(0,INT((IF($F28="",R$4,MIN(R$4,$F28))-$E28)/7)+1-MAX(0,ROUNDUP((R$3-$E28)/7,0)))),IF($G28=101,(AND(EOMONTH(R$3,0)&gt;=MAX(R$3,$E28),EOMONTH(R$3,0)&lt;=IF($F28="",R$4,MIN(R$4,$F28)))*1+AND(EOMONTH(R$4,0)&lt;&gt;EOMONTH(R$3,0),EOMONTH(R$4,0)&gt;=MAX(R$3,$E28),EOMONTH(R$4,0)&lt;=IF($F28="",R$4,MIN(R$4,$F28)))*1),IF($G28=102,(AND(WORKDAY(EOMONTH(R$3,0)+1,-3)&gt;=MAX(R$3,$E28),WORKDAY(EOMONTH(R$3,0)+1,-3)&lt;=IF($F28="",R$4,MIN(R$4,$F28)))*1+AND(WORKDAY(EOMONTH(R$4,0)+1,-3)&lt;&gt;WORKDAY(EOMONTH(R$3,0)+1,-3),WORKDAY(EOMONTH(R$4,0)+1,-3)&gt;=MAX(R$3,$E28),WORKDAY(EOMONTH(R$4,0)+1,-3)&lt;=IF($F28="",R$4,MIN(R$4,$F28)))*1),IF(AND(IF(EDATE($E28,MAX(0,ROUNDUP(((YEAR(R$3)-YEAR($E28))*12+MONTH(R$3)-MONTH($E28))/$G28,0)*$G28))&lt;R$3,EDATE($E28,MAX(0,ROUNDUP(((YEAR(R$3)-YEAR($E28))*12+MONTH(R$3)-MONTH($E28))/$G28,0)*$G28)+$G28),EDATE($E28,MAX(0,ROUNDUP(((YEAR(R$3)-YEAR($E28))*12+MONTH(R$3)-MONTH($E28))/$G28,0)*$G28)))&gt;=R$3,IF(EDATE($E28,MAX(0,ROUNDUP(((YEAR(R$3)-YEAR($E28))*12+MONTH(R$3)-MONTH($E28))/$G28,0)*$G28))&lt;R$3,EDATE($E28,MAX(0,ROUNDUP(((YEAR(R$3)-YEAR($E28))*12+MONTH(R$3)-MONTH($E28))/$G28,0)*$G28)+$G28),EDATE($E28,MAX(0,ROUNDUP(((YEAR(R$3)-YEAR($E28))*12+MONTH(R$3)-MONTH($E28))/$G28,0)*$G28)))&lt;=IF($F28="",R$4,MIN(R$4,$F28))),1,0)))))</f>
        <v>0</v>
      </c>
      <c r="S28" s="25" t="n">
        <f aca="false">IF(OR($C28="",$C28=0,$E28="",$B28="",$G28=-2),0,$C28*IF($G28=0,IF(IF($F28="",S$4,MIN(S$4,$F28))&lt;$E28,0,MAX(0,INT((IF($F28="",S$4,MIN(S$4,$F28))-$E28)/7)+1-MAX(0,ROUNDUP((S$3-$E28)/7,0)))),IF($G28=101,(AND(EOMONTH(S$3,0)&gt;=MAX(S$3,$E28),EOMONTH(S$3,0)&lt;=IF($F28="",S$4,MIN(S$4,$F28)))*1+AND(EOMONTH(S$4,0)&lt;&gt;EOMONTH(S$3,0),EOMONTH(S$4,0)&gt;=MAX(S$3,$E28),EOMONTH(S$4,0)&lt;=IF($F28="",S$4,MIN(S$4,$F28)))*1),IF($G28=102,(AND(WORKDAY(EOMONTH(S$3,0)+1,-3)&gt;=MAX(S$3,$E28),WORKDAY(EOMONTH(S$3,0)+1,-3)&lt;=IF($F28="",S$4,MIN(S$4,$F28)))*1+AND(WORKDAY(EOMONTH(S$4,0)+1,-3)&lt;&gt;WORKDAY(EOMONTH(S$3,0)+1,-3),WORKDAY(EOMONTH(S$4,0)+1,-3)&gt;=MAX(S$3,$E28),WORKDAY(EOMONTH(S$4,0)+1,-3)&lt;=IF($F28="",S$4,MIN(S$4,$F28)))*1),IF(AND(IF(EDATE($E28,MAX(0,ROUNDUP(((YEAR(S$3)-YEAR($E28))*12+MONTH(S$3)-MONTH($E28))/$G28,0)*$G28))&lt;S$3,EDATE($E28,MAX(0,ROUNDUP(((YEAR(S$3)-YEAR($E28))*12+MONTH(S$3)-MONTH($E28))/$G28,0)*$G28)+$G28),EDATE($E28,MAX(0,ROUNDUP(((YEAR(S$3)-YEAR($E28))*12+MONTH(S$3)-MONTH($E28))/$G28,0)*$G28)))&gt;=S$3,IF(EDATE($E28,MAX(0,ROUNDUP(((YEAR(S$3)-YEAR($E28))*12+MONTH(S$3)-MONTH($E28))/$G28,0)*$G28))&lt;S$3,EDATE($E28,MAX(0,ROUNDUP(((YEAR(S$3)-YEAR($E28))*12+MONTH(S$3)-MONTH($E28))/$G28,0)*$G28)+$G28),EDATE($E28,MAX(0,ROUNDUP(((YEAR(S$3)-YEAR($E28))*12+MONTH(S$3)-MONTH($E28))/$G28,0)*$G28)))&lt;=IF($F28="",S$4,MIN(S$4,$F28))),1,0)))))</f>
        <v>0</v>
      </c>
      <c r="T28" s="25" t="n">
        <f aca="false">IF(OR($C28="",$C28=0,$E28="",$B28="",$G28=-2),0,$C28*IF($G28=0,IF(IF($F28="",T$4,MIN(T$4,$F28))&lt;$E28,0,MAX(0,INT((IF($F28="",T$4,MIN(T$4,$F28))-$E28)/7)+1-MAX(0,ROUNDUP((T$3-$E28)/7,0)))),IF($G28=101,(AND(EOMONTH(T$3,0)&gt;=MAX(T$3,$E28),EOMONTH(T$3,0)&lt;=IF($F28="",T$4,MIN(T$4,$F28)))*1+AND(EOMONTH(T$4,0)&lt;&gt;EOMONTH(T$3,0),EOMONTH(T$4,0)&gt;=MAX(T$3,$E28),EOMONTH(T$4,0)&lt;=IF($F28="",T$4,MIN(T$4,$F28)))*1),IF($G28=102,(AND(WORKDAY(EOMONTH(T$3,0)+1,-3)&gt;=MAX(T$3,$E28),WORKDAY(EOMONTH(T$3,0)+1,-3)&lt;=IF($F28="",T$4,MIN(T$4,$F28)))*1+AND(WORKDAY(EOMONTH(T$4,0)+1,-3)&lt;&gt;WORKDAY(EOMONTH(T$3,0)+1,-3),WORKDAY(EOMONTH(T$4,0)+1,-3)&gt;=MAX(T$3,$E28),WORKDAY(EOMONTH(T$4,0)+1,-3)&lt;=IF($F28="",T$4,MIN(T$4,$F28)))*1),IF(AND(IF(EDATE($E28,MAX(0,ROUNDUP(((YEAR(T$3)-YEAR($E28))*12+MONTH(T$3)-MONTH($E28))/$G28,0)*$G28))&lt;T$3,EDATE($E28,MAX(0,ROUNDUP(((YEAR(T$3)-YEAR($E28))*12+MONTH(T$3)-MONTH($E28))/$G28,0)*$G28)+$G28),EDATE($E28,MAX(0,ROUNDUP(((YEAR(T$3)-YEAR($E28))*12+MONTH(T$3)-MONTH($E28))/$G28,0)*$G28)))&gt;=T$3,IF(EDATE($E28,MAX(0,ROUNDUP(((YEAR(T$3)-YEAR($E28))*12+MONTH(T$3)-MONTH($E28))/$G28,0)*$G28))&lt;T$3,EDATE($E28,MAX(0,ROUNDUP(((YEAR(T$3)-YEAR($E28))*12+MONTH(T$3)-MONTH($E28))/$G28,0)*$G28)+$G28),EDATE($E28,MAX(0,ROUNDUP(((YEAR(T$3)-YEAR($E28))*12+MONTH(T$3)-MONTH($E28))/$G28,0)*$G28)))&lt;=IF($F28="",T$4,MIN(T$4,$F28))),1,0)))))</f>
        <v>0</v>
      </c>
      <c r="U28" s="25" t="n">
        <f aca="false">IF(OR($C28="",$C28=0,$E28="",$B28="",$G28=-2),0,$C28*IF($G28=0,IF(IF($F28="",U$4,MIN(U$4,$F28))&lt;$E28,0,MAX(0,INT((IF($F28="",U$4,MIN(U$4,$F28))-$E28)/7)+1-MAX(0,ROUNDUP((U$3-$E28)/7,0)))),IF($G28=101,(AND(EOMONTH(U$3,0)&gt;=MAX(U$3,$E28),EOMONTH(U$3,0)&lt;=IF($F28="",U$4,MIN(U$4,$F28)))*1+AND(EOMONTH(U$4,0)&lt;&gt;EOMONTH(U$3,0),EOMONTH(U$4,0)&gt;=MAX(U$3,$E28),EOMONTH(U$4,0)&lt;=IF($F28="",U$4,MIN(U$4,$F28)))*1),IF($G28=102,(AND(WORKDAY(EOMONTH(U$3,0)+1,-3)&gt;=MAX(U$3,$E28),WORKDAY(EOMONTH(U$3,0)+1,-3)&lt;=IF($F28="",U$4,MIN(U$4,$F28)))*1+AND(WORKDAY(EOMONTH(U$4,0)+1,-3)&lt;&gt;WORKDAY(EOMONTH(U$3,0)+1,-3),WORKDAY(EOMONTH(U$4,0)+1,-3)&gt;=MAX(U$3,$E28),WORKDAY(EOMONTH(U$4,0)+1,-3)&lt;=IF($F28="",U$4,MIN(U$4,$F28)))*1),IF(AND(IF(EDATE($E28,MAX(0,ROUNDUP(((YEAR(U$3)-YEAR($E28))*12+MONTH(U$3)-MONTH($E28))/$G28,0)*$G28))&lt;U$3,EDATE($E28,MAX(0,ROUNDUP(((YEAR(U$3)-YEAR($E28))*12+MONTH(U$3)-MONTH($E28))/$G28,0)*$G28)+$G28),EDATE($E28,MAX(0,ROUNDUP(((YEAR(U$3)-YEAR($E28))*12+MONTH(U$3)-MONTH($E28))/$G28,0)*$G28)))&gt;=U$3,IF(EDATE($E28,MAX(0,ROUNDUP(((YEAR(U$3)-YEAR($E28))*12+MONTH(U$3)-MONTH($E28))/$G28,0)*$G28))&lt;U$3,EDATE($E28,MAX(0,ROUNDUP(((YEAR(U$3)-YEAR($E28))*12+MONTH(U$3)-MONTH($E28))/$G28,0)*$G28)+$G28),EDATE($E28,MAX(0,ROUNDUP(((YEAR(U$3)-YEAR($E28))*12+MONTH(U$3)-MONTH($E28))/$G28,0)*$G28)))&lt;=IF($F28="",U$4,MIN(U$4,$F28))),1,0)))))</f>
        <v>0</v>
      </c>
      <c r="V28" s="25" t="n">
        <f aca="false">IF(OR($C28="",$C28=0,$E28="",$B28="",$G28=-2),0,$C28*IF($G28=0,IF(IF($F28="",V$4,MIN(V$4,$F28))&lt;$E28,0,MAX(0,INT((IF($F28="",V$4,MIN(V$4,$F28))-$E28)/7)+1-MAX(0,ROUNDUP((V$3-$E28)/7,0)))),IF($G28=101,(AND(EOMONTH(V$3,0)&gt;=MAX(V$3,$E28),EOMONTH(V$3,0)&lt;=IF($F28="",V$4,MIN(V$4,$F28)))*1+AND(EOMONTH(V$4,0)&lt;&gt;EOMONTH(V$3,0),EOMONTH(V$4,0)&gt;=MAX(V$3,$E28),EOMONTH(V$4,0)&lt;=IF($F28="",V$4,MIN(V$4,$F28)))*1),IF($G28=102,(AND(WORKDAY(EOMONTH(V$3,0)+1,-3)&gt;=MAX(V$3,$E28),WORKDAY(EOMONTH(V$3,0)+1,-3)&lt;=IF($F28="",V$4,MIN(V$4,$F28)))*1+AND(WORKDAY(EOMONTH(V$4,0)+1,-3)&lt;&gt;WORKDAY(EOMONTH(V$3,0)+1,-3),WORKDAY(EOMONTH(V$4,0)+1,-3)&gt;=MAX(V$3,$E28),WORKDAY(EOMONTH(V$4,0)+1,-3)&lt;=IF($F28="",V$4,MIN(V$4,$F28)))*1),IF(AND(IF(EDATE($E28,MAX(0,ROUNDUP(((YEAR(V$3)-YEAR($E28))*12+MONTH(V$3)-MONTH($E28))/$G28,0)*$G28))&lt;V$3,EDATE($E28,MAX(0,ROUNDUP(((YEAR(V$3)-YEAR($E28))*12+MONTH(V$3)-MONTH($E28))/$G28,0)*$G28)+$G28),EDATE($E28,MAX(0,ROUNDUP(((YEAR(V$3)-YEAR($E28))*12+MONTH(V$3)-MONTH($E28))/$G28,0)*$G28)))&gt;=V$3,IF(EDATE($E28,MAX(0,ROUNDUP(((YEAR(V$3)-YEAR($E28))*12+MONTH(V$3)-MONTH($E28))/$G28,0)*$G28))&lt;V$3,EDATE($E28,MAX(0,ROUNDUP(((YEAR(V$3)-YEAR($E28))*12+MONTH(V$3)-MONTH($E28))/$G28,0)*$G28)+$G28),EDATE($E28,MAX(0,ROUNDUP(((YEAR(V$3)-YEAR($E28))*12+MONTH(V$3)-MONTH($E28))/$G28,0)*$G28)))&lt;=IF($F28="",V$4,MIN(V$4,$F28))),1,0)))))</f>
        <v>0</v>
      </c>
      <c r="W28" s="25" t="n">
        <f aca="false">IF(OR($C28="",$C28=0,$E28="",$B28="",$G28=-2),0,$C28*IF($G28=0,IF(IF($F28="",W$4,MIN(W$4,$F28))&lt;$E28,0,MAX(0,INT((IF($F28="",W$4,MIN(W$4,$F28))-$E28)/7)+1-MAX(0,ROUNDUP((W$3-$E28)/7,0)))),IF($G28=101,(AND(EOMONTH(W$3,0)&gt;=MAX(W$3,$E28),EOMONTH(W$3,0)&lt;=IF($F28="",W$4,MIN(W$4,$F28)))*1+AND(EOMONTH(W$4,0)&lt;&gt;EOMONTH(W$3,0),EOMONTH(W$4,0)&gt;=MAX(W$3,$E28),EOMONTH(W$4,0)&lt;=IF($F28="",W$4,MIN(W$4,$F28)))*1),IF($G28=102,(AND(WORKDAY(EOMONTH(W$3,0)+1,-3)&gt;=MAX(W$3,$E28),WORKDAY(EOMONTH(W$3,0)+1,-3)&lt;=IF($F28="",W$4,MIN(W$4,$F28)))*1+AND(WORKDAY(EOMONTH(W$4,0)+1,-3)&lt;&gt;WORKDAY(EOMONTH(W$3,0)+1,-3),WORKDAY(EOMONTH(W$4,0)+1,-3)&gt;=MAX(W$3,$E28),WORKDAY(EOMONTH(W$4,0)+1,-3)&lt;=IF($F28="",W$4,MIN(W$4,$F28)))*1),IF(AND(IF(EDATE($E28,MAX(0,ROUNDUP(((YEAR(W$3)-YEAR($E28))*12+MONTH(W$3)-MONTH($E28))/$G28,0)*$G28))&lt;W$3,EDATE($E28,MAX(0,ROUNDUP(((YEAR(W$3)-YEAR($E28))*12+MONTH(W$3)-MONTH($E28))/$G28,0)*$G28)+$G28),EDATE($E28,MAX(0,ROUNDUP(((YEAR(W$3)-YEAR($E28))*12+MONTH(W$3)-MONTH($E28))/$G28,0)*$G28)))&gt;=W$3,IF(EDATE($E28,MAX(0,ROUNDUP(((YEAR(W$3)-YEAR($E28))*12+MONTH(W$3)-MONTH($E28))/$G28,0)*$G28))&lt;W$3,EDATE($E28,MAX(0,ROUNDUP(((YEAR(W$3)-YEAR($E28))*12+MONTH(W$3)-MONTH($E28))/$G28,0)*$G28)+$G28),EDATE($E28,MAX(0,ROUNDUP(((YEAR(W$3)-YEAR($E28))*12+MONTH(W$3)-MONTH($E28))/$G28,0)*$G28)))&lt;=IF($F28="",W$4,MIN(W$4,$F28))),1,0)))))</f>
        <v>0</v>
      </c>
      <c r="X28" s="25" t="n">
        <f aca="false">IF(OR($C28="",$C28=0,$E28="",$B28="",$G28=-2),0,$C28*IF($G28=0,IF(IF($F28="",X$4,MIN(X$4,$F28))&lt;$E28,0,MAX(0,INT((IF($F28="",X$4,MIN(X$4,$F28))-$E28)/7)+1-MAX(0,ROUNDUP((X$3-$E28)/7,0)))),IF($G28=101,(AND(EOMONTH(X$3,0)&gt;=MAX(X$3,$E28),EOMONTH(X$3,0)&lt;=IF($F28="",X$4,MIN(X$4,$F28)))*1+AND(EOMONTH(X$4,0)&lt;&gt;EOMONTH(X$3,0),EOMONTH(X$4,0)&gt;=MAX(X$3,$E28),EOMONTH(X$4,0)&lt;=IF($F28="",X$4,MIN(X$4,$F28)))*1),IF($G28=102,(AND(WORKDAY(EOMONTH(X$3,0)+1,-3)&gt;=MAX(X$3,$E28),WORKDAY(EOMONTH(X$3,0)+1,-3)&lt;=IF($F28="",X$4,MIN(X$4,$F28)))*1+AND(WORKDAY(EOMONTH(X$4,0)+1,-3)&lt;&gt;WORKDAY(EOMONTH(X$3,0)+1,-3),WORKDAY(EOMONTH(X$4,0)+1,-3)&gt;=MAX(X$3,$E28),WORKDAY(EOMONTH(X$4,0)+1,-3)&lt;=IF($F28="",X$4,MIN(X$4,$F28)))*1),IF(AND(IF(EDATE($E28,MAX(0,ROUNDUP(((YEAR(X$3)-YEAR($E28))*12+MONTH(X$3)-MONTH($E28))/$G28,0)*$G28))&lt;X$3,EDATE($E28,MAX(0,ROUNDUP(((YEAR(X$3)-YEAR($E28))*12+MONTH(X$3)-MONTH($E28))/$G28,0)*$G28)+$G28),EDATE($E28,MAX(0,ROUNDUP(((YEAR(X$3)-YEAR($E28))*12+MONTH(X$3)-MONTH($E28))/$G28,0)*$G28)))&gt;=X$3,IF(EDATE($E28,MAX(0,ROUNDUP(((YEAR(X$3)-YEAR($E28))*12+MONTH(X$3)-MONTH($E28))/$G28,0)*$G28))&lt;X$3,EDATE($E28,MAX(0,ROUNDUP(((YEAR(X$3)-YEAR($E28))*12+MONTH(X$3)-MONTH($E28))/$G28,0)*$G28)+$G28),EDATE($E28,MAX(0,ROUNDUP(((YEAR(X$3)-YEAR($E28))*12+MONTH(X$3)-MONTH($E28))/$G28,0)*$G28)))&lt;=IF($F28="",X$4,MIN(X$4,$F28))),1,0)))))</f>
        <v>0</v>
      </c>
      <c r="Y28" s="25" t="n">
        <f aca="false">IF(OR($C28="",$C28=0,$E28="",$B28="",$G28=-2),0,$C28*IF($G28=0,IF(IF($F28="",Y$4,MIN(Y$4,$F28))&lt;$E28,0,MAX(0,INT((IF($F28="",Y$4,MIN(Y$4,$F28))-$E28)/7)+1-MAX(0,ROUNDUP((Y$3-$E28)/7,0)))),IF($G28=101,(AND(EOMONTH(Y$3,0)&gt;=MAX(Y$3,$E28),EOMONTH(Y$3,0)&lt;=IF($F28="",Y$4,MIN(Y$4,$F28)))*1+AND(EOMONTH(Y$4,0)&lt;&gt;EOMONTH(Y$3,0),EOMONTH(Y$4,0)&gt;=MAX(Y$3,$E28),EOMONTH(Y$4,0)&lt;=IF($F28="",Y$4,MIN(Y$4,$F28)))*1),IF($G28=102,(AND(WORKDAY(EOMONTH(Y$3,0)+1,-3)&gt;=MAX(Y$3,$E28),WORKDAY(EOMONTH(Y$3,0)+1,-3)&lt;=IF($F28="",Y$4,MIN(Y$4,$F28)))*1+AND(WORKDAY(EOMONTH(Y$4,0)+1,-3)&lt;&gt;WORKDAY(EOMONTH(Y$3,0)+1,-3),WORKDAY(EOMONTH(Y$4,0)+1,-3)&gt;=MAX(Y$3,$E28),WORKDAY(EOMONTH(Y$4,0)+1,-3)&lt;=IF($F28="",Y$4,MIN(Y$4,$F28)))*1),IF(AND(IF(EDATE($E28,MAX(0,ROUNDUP(((YEAR(Y$3)-YEAR($E28))*12+MONTH(Y$3)-MONTH($E28))/$G28,0)*$G28))&lt;Y$3,EDATE($E28,MAX(0,ROUNDUP(((YEAR(Y$3)-YEAR($E28))*12+MONTH(Y$3)-MONTH($E28))/$G28,0)*$G28)+$G28),EDATE($E28,MAX(0,ROUNDUP(((YEAR(Y$3)-YEAR($E28))*12+MONTH(Y$3)-MONTH($E28))/$G28,0)*$G28)))&gt;=Y$3,IF(EDATE($E28,MAX(0,ROUNDUP(((YEAR(Y$3)-YEAR($E28))*12+MONTH(Y$3)-MONTH($E28))/$G28,0)*$G28))&lt;Y$3,EDATE($E28,MAX(0,ROUNDUP(((YEAR(Y$3)-YEAR($E28))*12+MONTH(Y$3)-MONTH($E28))/$G28,0)*$G28)+$G28),EDATE($E28,MAX(0,ROUNDUP(((YEAR(Y$3)-YEAR($E28))*12+MONTH(Y$3)-MONTH($E28))/$G28,0)*$G28)))&lt;=IF($F28="",Y$4,MIN(Y$4,$F28))),1,0)))))</f>
        <v>0</v>
      </c>
      <c r="Z28" s="25" t="n">
        <f aca="false">IF(OR($C28="",$C28=0,$E28="",$B28="",$G28=-2),0,$C28*IF($G28=0,IF(IF($F28="",Z$4,MIN(Z$4,$F28))&lt;$E28,0,MAX(0,INT((IF($F28="",Z$4,MIN(Z$4,$F28))-$E28)/7)+1-MAX(0,ROUNDUP((Z$3-$E28)/7,0)))),IF($G28=101,(AND(EOMONTH(Z$3,0)&gt;=MAX(Z$3,$E28),EOMONTH(Z$3,0)&lt;=IF($F28="",Z$4,MIN(Z$4,$F28)))*1+AND(EOMONTH(Z$4,0)&lt;&gt;EOMONTH(Z$3,0),EOMONTH(Z$4,0)&gt;=MAX(Z$3,$E28),EOMONTH(Z$4,0)&lt;=IF($F28="",Z$4,MIN(Z$4,$F28)))*1),IF($G28=102,(AND(WORKDAY(EOMONTH(Z$3,0)+1,-3)&gt;=MAX(Z$3,$E28),WORKDAY(EOMONTH(Z$3,0)+1,-3)&lt;=IF($F28="",Z$4,MIN(Z$4,$F28)))*1+AND(WORKDAY(EOMONTH(Z$4,0)+1,-3)&lt;&gt;WORKDAY(EOMONTH(Z$3,0)+1,-3),WORKDAY(EOMONTH(Z$4,0)+1,-3)&gt;=MAX(Z$3,$E28),WORKDAY(EOMONTH(Z$4,0)+1,-3)&lt;=IF($F28="",Z$4,MIN(Z$4,$F28)))*1),IF(AND(IF(EDATE($E28,MAX(0,ROUNDUP(((YEAR(Z$3)-YEAR($E28))*12+MONTH(Z$3)-MONTH($E28))/$G28,0)*$G28))&lt;Z$3,EDATE($E28,MAX(0,ROUNDUP(((YEAR(Z$3)-YEAR($E28))*12+MONTH(Z$3)-MONTH($E28))/$G28,0)*$G28)+$G28),EDATE($E28,MAX(0,ROUNDUP(((YEAR(Z$3)-YEAR($E28))*12+MONTH(Z$3)-MONTH($E28))/$G28,0)*$G28)))&gt;=Z$3,IF(EDATE($E28,MAX(0,ROUNDUP(((YEAR(Z$3)-YEAR($E28))*12+MONTH(Z$3)-MONTH($E28))/$G28,0)*$G28))&lt;Z$3,EDATE($E28,MAX(0,ROUNDUP(((YEAR(Z$3)-YEAR($E28))*12+MONTH(Z$3)-MONTH($E28))/$G28,0)*$G28)+$G28),EDATE($E28,MAX(0,ROUNDUP(((YEAR(Z$3)-YEAR($E28))*12+MONTH(Z$3)-MONTH($E28))/$G28,0)*$G28)))&lt;=IF($F28="",Z$4,MIN(Z$4,$F28))),1,0)))))</f>
        <v>0</v>
      </c>
      <c r="AA28" s="25" t="n">
        <f aca="false">IF(OR($C28="",$C28=0,$E28="",$B28="",$G28=-2),0,$C28*IF($G28=0,IF(IF($F28="",AA$4,MIN(AA$4,$F28))&lt;$E28,0,MAX(0,INT((IF($F28="",AA$4,MIN(AA$4,$F28))-$E28)/7)+1-MAX(0,ROUNDUP((AA$3-$E28)/7,0)))),IF($G28=101,(AND(EOMONTH(AA$3,0)&gt;=MAX(AA$3,$E28),EOMONTH(AA$3,0)&lt;=IF($F28="",AA$4,MIN(AA$4,$F28)))*1+AND(EOMONTH(AA$4,0)&lt;&gt;EOMONTH(AA$3,0),EOMONTH(AA$4,0)&gt;=MAX(AA$3,$E28),EOMONTH(AA$4,0)&lt;=IF($F28="",AA$4,MIN(AA$4,$F28)))*1),IF($G28=102,(AND(WORKDAY(EOMONTH(AA$3,0)+1,-3)&gt;=MAX(AA$3,$E28),WORKDAY(EOMONTH(AA$3,0)+1,-3)&lt;=IF($F28="",AA$4,MIN(AA$4,$F28)))*1+AND(WORKDAY(EOMONTH(AA$4,0)+1,-3)&lt;&gt;WORKDAY(EOMONTH(AA$3,0)+1,-3),WORKDAY(EOMONTH(AA$4,0)+1,-3)&gt;=MAX(AA$3,$E28),WORKDAY(EOMONTH(AA$4,0)+1,-3)&lt;=IF($F28="",AA$4,MIN(AA$4,$F28)))*1),IF(AND(IF(EDATE($E28,MAX(0,ROUNDUP(((YEAR(AA$3)-YEAR($E28))*12+MONTH(AA$3)-MONTH($E28))/$G28,0)*$G28))&lt;AA$3,EDATE($E28,MAX(0,ROUNDUP(((YEAR(AA$3)-YEAR($E28))*12+MONTH(AA$3)-MONTH($E28))/$G28,0)*$G28)+$G28),EDATE($E28,MAX(0,ROUNDUP(((YEAR(AA$3)-YEAR($E28))*12+MONTH(AA$3)-MONTH($E28))/$G28,0)*$G28)))&gt;=AA$3,IF(EDATE($E28,MAX(0,ROUNDUP(((YEAR(AA$3)-YEAR($E28))*12+MONTH(AA$3)-MONTH($E28))/$G28,0)*$G28))&lt;AA$3,EDATE($E28,MAX(0,ROUNDUP(((YEAR(AA$3)-YEAR($E28))*12+MONTH(AA$3)-MONTH($E28))/$G28,0)*$G28)+$G28),EDATE($E28,MAX(0,ROUNDUP(((YEAR(AA$3)-YEAR($E28))*12+MONTH(AA$3)-MONTH($E28))/$G28,0)*$G28)))&lt;=IF($F28="",AA$4,MIN(AA$4,$F28))),1,0)))))</f>
        <v>0</v>
      </c>
      <c r="AB28" s="25" t="n">
        <f aca="false">IF(OR($C28="",$C28=0,$E28="",$B28="",$G28=-2),0,$C28*IF($G28=0,IF(IF($F28="",AB$4,MIN(AB$4,$F28))&lt;$E28,0,MAX(0,INT((IF($F28="",AB$4,MIN(AB$4,$F28))-$E28)/7)+1-MAX(0,ROUNDUP((AB$3-$E28)/7,0)))),IF($G28=101,(AND(EOMONTH(AB$3,0)&gt;=MAX(AB$3,$E28),EOMONTH(AB$3,0)&lt;=IF($F28="",AB$4,MIN(AB$4,$F28)))*1+AND(EOMONTH(AB$4,0)&lt;&gt;EOMONTH(AB$3,0),EOMONTH(AB$4,0)&gt;=MAX(AB$3,$E28),EOMONTH(AB$4,0)&lt;=IF($F28="",AB$4,MIN(AB$4,$F28)))*1),IF($G28=102,(AND(WORKDAY(EOMONTH(AB$3,0)+1,-3)&gt;=MAX(AB$3,$E28),WORKDAY(EOMONTH(AB$3,0)+1,-3)&lt;=IF($F28="",AB$4,MIN(AB$4,$F28)))*1+AND(WORKDAY(EOMONTH(AB$4,0)+1,-3)&lt;&gt;WORKDAY(EOMONTH(AB$3,0)+1,-3),WORKDAY(EOMONTH(AB$4,0)+1,-3)&gt;=MAX(AB$3,$E28),WORKDAY(EOMONTH(AB$4,0)+1,-3)&lt;=IF($F28="",AB$4,MIN(AB$4,$F28)))*1),IF(AND(IF(EDATE($E28,MAX(0,ROUNDUP(((YEAR(AB$3)-YEAR($E28))*12+MONTH(AB$3)-MONTH($E28))/$G28,0)*$G28))&lt;AB$3,EDATE($E28,MAX(0,ROUNDUP(((YEAR(AB$3)-YEAR($E28))*12+MONTH(AB$3)-MONTH($E28))/$G28,0)*$G28)+$G28),EDATE($E28,MAX(0,ROUNDUP(((YEAR(AB$3)-YEAR($E28))*12+MONTH(AB$3)-MONTH($E28))/$G28,0)*$G28)))&gt;=AB$3,IF(EDATE($E28,MAX(0,ROUNDUP(((YEAR(AB$3)-YEAR($E28))*12+MONTH(AB$3)-MONTH($E28))/$G28,0)*$G28))&lt;AB$3,EDATE($E28,MAX(0,ROUNDUP(((YEAR(AB$3)-YEAR($E28))*12+MONTH(AB$3)-MONTH($E28))/$G28,0)*$G28)+$G28),EDATE($E28,MAX(0,ROUNDUP(((YEAR(AB$3)-YEAR($E28))*12+MONTH(AB$3)-MONTH($E28))/$G28,0)*$G28)))&lt;=IF($F28="",AB$4,MIN(AB$4,$F28))),1,0)))))</f>
        <v>0</v>
      </c>
      <c r="AC28" s="25" t="n">
        <f aca="false">IF(OR($C28="",$C28=0,$E28="",$B28="",$G28=-2),0,$C28*IF($G28=0,IF(IF($F28="",AC$4,MIN(AC$4,$F28))&lt;$E28,0,MAX(0,INT((IF($F28="",AC$4,MIN(AC$4,$F28))-$E28)/7)+1-MAX(0,ROUNDUP((AC$3-$E28)/7,0)))),IF($G28=101,(AND(EOMONTH(AC$3,0)&gt;=MAX(AC$3,$E28),EOMONTH(AC$3,0)&lt;=IF($F28="",AC$4,MIN(AC$4,$F28)))*1+AND(EOMONTH(AC$4,0)&lt;&gt;EOMONTH(AC$3,0),EOMONTH(AC$4,0)&gt;=MAX(AC$3,$E28),EOMONTH(AC$4,0)&lt;=IF($F28="",AC$4,MIN(AC$4,$F28)))*1),IF($G28=102,(AND(WORKDAY(EOMONTH(AC$3,0)+1,-3)&gt;=MAX(AC$3,$E28),WORKDAY(EOMONTH(AC$3,0)+1,-3)&lt;=IF($F28="",AC$4,MIN(AC$4,$F28)))*1+AND(WORKDAY(EOMONTH(AC$4,0)+1,-3)&lt;&gt;WORKDAY(EOMONTH(AC$3,0)+1,-3),WORKDAY(EOMONTH(AC$4,0)+1,-3)&gt;=MAX(AC$3,$E28),WORKDAY(EOMONTH(AC$4,0)+1,-3)&lt;=IF($F28="",AC$4,MIN(AC$4,$F28)))*1),IF(AND(IF(EDATE($E28,MAX(0,ROUNDUP(((YEAR(AC$3)-YEAR($E28))*12+MONTH(AC$3)-MONTH($E28))/$G28,0)*$G28))&lt;AC$3,EDATE($E28,MAX(0,ROUNDUP(((YEAR(AC$3)-YEAR($E28))*12+MONTH(AC$3)-MONTH($E28))/$G28,0)*$G28)+$G28),EDATE($E28,MAX(0,ROUNDUP(((YEAR(AC$3)-YEAR($E28))*12+MONTH(AC$3)-MONTH($E28))/$G28,0)*$G28)))&gt;=AC$3,IF(EDATE($E28,MAX(0,ROUNDUP(((YEAR(AC$3)-YEAR($E28))*12+MONTH(AC$3)-MONTH($E28))/$G28,0)*$G28))&lt;AC$3,EDATE($E28,MAX(0,ROUNDUP(((YEAR(AC$3)-YEAR($E28))*12+MONTH(AC$3)-MONTH($E28))/$G28,0)*$G28)+$G28),EDATE($E28,MAX(0,ROUNDUP(((YEAR(AC$3)-YEAR($E28))*12+MONTH(AC$3)-MONTH($E28))/$G28,0)*$G28)))&lt;=IF($F28="",AC$4,MIN(AC$4,$F28))),1,0)))))</f>
        <v>0</v>
      </c>
      <c r="AD28" s="25" t="n">
        <f aca="false">IF(OR($C28="",$C28=0,$E28="",$B28="",$G28=-2),0,$C28*IF($G28=0,IF(IF($F28="",AD$4,MIN(AD$4,$F28))&lt;$E28,0,MAX(0,INT((IF($F28="",AD$4,MIN(AD$4,$F28))-$E28)/7)+1-MAX(0,ROUNDUP((AD$3-$E28)/7,0)))),IF($G28=101,(AND(EOMONTH(AD$3,0)&gt;=MAX(AD$3,$E28),EOMONTH(AD$3,0)&lt;=IF($F28="",AD$4,MIN(AD$4,$F28)))*1+AND(EOMONTH(AD$4,0)&lt;&gt;EOMONTH(AD$3,0),EOMONTH(AD$4,0)&gt;=MAX(AD$3,$E28),EOMONTH(AD$4,0)&lt;=IF($F28="",AD$4,MIN(AD$4,$F28)))*1),IF($G28=102,(AND(WORKDAY(EOMONTH(AD$3,0)+1,-3)&gt;=MAX(AD$3,$E28),WORKDAY(EOMONTH(AD$3,0)+1,-3)&lt;=IF($F28="",AD$4,MIN(AD$4,$F28)))*1+AND(WORKDAY(EOMONTH(AD$4,0)+1,-3)&lt;&gt;WORKDAY(EOMONTH(AD$3,0)+1,-3),WORKDAY(EOMONTH(AD$4,0)+1,-3)&gt;=MAX(AD$3,$E28),WORKDAY(EOMONTH(AD$4,0)+1,-3)&lt;=IF($F28="",AD$4,MIN(AD$4,$F28)))*1),IF(AND(IF(EDATE($E28,MAX(0,ROUNDUP(((YEAR(AD$3)-YEAR($E28))*12+MONTH(AD$3)-MONTH($E28))/$G28,0)*$G28))&lt;AD$3,EDATE($E28,MAX(0,ROUNDUP(((YEAR(AD$3)-YEAR($E28))*12+MONTH(AD$3)-MONTH($E28))/$G28,0)*$G28)+$G28),EDATE($E28,MAX(0,ROUNDUP(((YEAR(AD$3)-YEAR($E28))*12+MONTH(AD$3)-MONTH($E28))/$G28,0)*$G28)))&gt;=AD$3,IF(EDATE($E28,MAX(0,ROUNDUP(((YEAR(AD$3)-YEAR($E28))*12+MONTH(AD$3)-MONTH($E28))/$G28,0)*$G28))&lt;AD$3,EDATE($E28,MAX(0,ROUNDUP(((YEAR(AD$3)-YEAR($E28))*12+MONTH(AD$3)-MONTH($E28))/$G28,0)*$G28)+$G28),EDATE($E28,MAX(0,ROUNDUP(((YEAR(AD$3)-YEAR($E28))*12+MONTH(AD$3)-MONTH($E28))/$G28,0)*$G28)))&lt;=IF($F28="",AD$4,MIN(AD$4,$F28))),1,0)))))</f>
        <v>0</v>
      </c>
      <c r="AE28" s="25" t="n">
        <f aca="false">IF(OR($C28="",$C28=0,$E28="",$B28="",$G28=-2),0,$C28*IF($G28=0,IF(IF($F28="",AE$4,MIN(AE$4,$F28))&lt;$E28,0,MAX(0,INT((IF($F28="",AE$4,MIN(AE$4,$F28))-$E28)/7)+1-MAX(0,ROUNDUP((AE$3-$E28)/7,0)))),IF($G28=101,(AND(EOMONTH(AE$3,0)&gt;=MAX(AE$3,$E28),EOMONTH(AE$3,0)&lt;=IF($F28="",AE$4,MIN(AE$4,$F28)))*1+AND(EOMONTH(AE$4,0)&lt;&gt;EOMONTH(AE$3,0),EOMONTH(AE$4,0)&gt;=MAX(AE$3,$E28),EOMONTH(AE$4,0)&lt;=IF($F28="",AE$4,MIN(AE$4,$F28)))*1),IF($G28=102,(AND(WORKDAY(EOMONTH(AE$3,0)+1,-3)&gt;=MAX(AE$3,$E28),WORKDAY(EOMONTH(AE$3,0)+1,-3)&lt;=IF($F28="",AE$4,MIN(AE$4,$F28)))*1+AND(WORKDAY(EOMONTH(AE$4,0)+1,-3)&lt;&gt;WORKDAY(EOMONTH(AE$3,0)+1,-3),WORKDAY(EOMONTH(AE$4,0)+1,-3)&gt;=MAX(AE$3,$E28),WORKDAY(EOMONTH(AE$4,0)+1,-3)&lt;=IF($F28="",AE$4,MIN(AE$4,$F28)))*1),IF(AND(IF(EDATE($E28,MAX(0,ROUNDUP(((YEAR(AE$3)-YEAR($E28))*12+MONTH(AE$3)-MONTH($E28))/$G28,0)*$G28))&lt;AE$3,EDATE($E28,MAX(0,ROUNDUP(((YEAR(AE$3)-YEAR($E28))*12+MONTH(AE$3)-MONTH($E28))/$G28,0)*$G28)+$G28),EDATE($E28,MAX(0,ROUNDUP(((YEAR(AE$3)-YEAR($E28))*12+MONTH(AE$3)-MONTH($E28))/$G28,0)*$G28)))&gt;=AE$3,IF(EDATE($E28,MAX(0,ROUNDUP(((YEAR(AE$3)-YEAR($E28))*12+MONTH(AE$3)-MONTH($E28))/$G28,0)*$G28))&lt;AE$3,EDATE($E28,MAX(0,ROUNDUP(((YEAR(AE$3)-YEAR($E28))*12+MONTH(AE$3)-MONTH($E28))/$G28,0)*$G28)+$G28),EDATE($E28,MAX(0,ROUNDUP(((YEAR(AE$3)-YEAR($E28))*12+MONTH(AE$3)-MONTH($E28))/$G28,0)*$G28)))&lt;=IF($F28="",AE$4,MIN(AE$4,$F28))),1,0)))))</f>
        <v>0</v>
      </c>
      <c r="AF28" s="25" t="n">
        <f aca="false">IF(OR($C28="",$C28=0,$E28="",$B28="",$G28=-2),0,$C28*IF($G28=0,IF(IF($F28="",AF$4,MIN(AF$4,$F28))&lt;$E28,0,MAX(0,INT((IF($F28="",AF$4,MIN(AF$4,$F28))-$E28)/7)+1-MAX(0,ROUNDUP((AF$3-$E28)/7,0)))),IF($G28=101,(AND(EOMONTH(AF$3,0)&gt;=MAX(AF$3,$E28),EOMONTH(AF$3,0)&lt;=IF($F28="",AF$4,MIN(AF$4,$F28)))*1+AND(EOMONTH(AF$4,0)&lt;&gt;EOMONTH(AF$3,0),EOMONTH(AF$4,0)&gt;=MAX(AF$3,$E28),EOMONTH(AF$4,0)&lt;=IF($F28="",AF$4,MIN(AF$4,$F28)))*1),IF($G28=102,(AND(WORKDAY(EOMONTH(AF$3,0)+1,-3)&gt;=MAX(AF$3,$E28),WORKDAY(EOMONTH(AF$3,0)+1,-3)&lt;=IF($F28="",AF$4,MIN(AF$4,$F28)))*1+AND(WORKDAY(EOMONTH(AF$4,0)+1,-3)&lt;&gt;WORKDAY(EOMONTH(AF$3,0)+1,-3),WORKDAY(EOMONTH(AF$4,0)+1,-3)&gt;=MAX(AF$3,$E28),WORKDAY(EOMONTH(AF$4,0)+1,-3)&lt;=IF($F28="",AF$4,MIN(AF$4,$F28)))*1),IF(AND(IF(EDATE($E28,MAX(0,ROUNDUP(((YEAR(AF$3)-YEAR($E28))*12+MONTH(AF$3)-MONTH($E28))/$G28,0)*$G28))&lt;AF$3,EDATE($E28,MAX(0,ROUNDUP(((YEAR(AF$3)-YEAR($E28))*12+MONTH(AF$3)-MONTH($E28))/$G28,0)*$G28)+$G28),EDATE($E28,MAX(0,ROUNDUP(((YEAR(AF$3)-YEAR($E28))*12+MONTH(AF$3)-MONTH($E28))/$G28,0)*$G28)))&gt;=AF$3,IF(EDATE($E28,MAX(0,ROUNDUP(((YEAR(AF$3)-YEAR($E28))*12+MONTH(AF$3)-MONTH($E28))/$G28,0)*$G28))&lt;AF$3,EDATE($E28,MAX(0,ROUNDUP(((YEAR(AF$3)-YEAR($E28))*12+MONTH(AF$3)-MONTH($E28))/$G28,0)*$G28)+$G28),EDATE($E28,MAX(0,ROUNDUP(((YEAR(AF$3)-YEAR($E28))*12+MONTH(AF$3)-MONTH($E28))/$G28,0)*$G28)))&lt;=IF($F28="",AF$4,MIN(AF$4,$F28))),1,0)))))</f>
        <v>0</v>
      </c>
    </row>
    <row r="29" customFormat="false" ht="15" hidden="false" customHeight="false" outlineLevel="0" collapsed="false">
      <c r="A29" s="5"/>
      <c r="B29" s="5"/>
      <c r="C29" s="8"/>
      <c r="D29" s="5"/>
      <c r="E29" s="7"/>
      <c r="F29" s="7"/>
      <c r="G29" s="24" t="n">
        <f aca="false">IFERROR(INDEX(Listen!$E$2:$E$8,MATCH(D29,Listen!$D$2:$D$8,0)),-2)</f>
        <v>-2</v>
      </c>
      <c r="H29" s="25" t="n">
        <f aca="false">IF(OR($C29="",$C29=0,$E29="",$B29="",$G29=-2),0,$C29*IF($G29=0,IF(IF($F29="",H$4,MIN(H$4,$F29))&lt;$E29,0,MAX(0,INT((IF($F29="",H$4,MIN(H$4,$F29))-$E29)/7)+1-MAX(0,ROUNDUP((H$3-$E29)/7,0)))),IF($G29=101,(AND(EOMONTH(H$3,0)&gt;=MAX(H$3,$E29),EOMONTH(H$3,0)&lt;=IF($F29="",H$4,MIN(H$4,$F29)))*1+AND(EOMONTH(H$4,0)&lt;&gt;EOMONTH(H$3,0),EOMONTH(H$4,0)&gt;=MAX(H$3,$E29),EOMONTH(H$4,0)&lt;=IF($F29="",H$4,MIN(H$4,$F29)))*1),IF($G29=102,(AND(WORKDAY(EOMONTH(H$3,0)+1,-3)&gt;=MAX(H$3,$E29),WORKDAY(EOMONTH(H$3,0)+1,-3)&lt;=IF($F29="",H$4,MIN(H$4,$F29)))*1+AND(WORKDAY(EOMONTH(H$4,0)+1,-3)&lt;&gt;WORKDAY(EOMONTH(H$3,0)+1,-3),WORKDAY(EOMONTH(H$4,0)+1,-3)&gt;=MAX(H$3,$E29),WORKDAY(EOMONTH(H$4,0)+1,-3)&lt;=IF($F29="",H$4,MIN(H$4,$F29)))*1),IF(AND(IF(EDATE($E29,MAX(0,ROUNDUP(((YEAR(H$3)-YEAR($E29))*12+MONTH(H$3)-MONTH($E29))/$G29,0)*$G29))&lt;H$3,EDATE($E29,MAX(0,ROUNDUP(((YEAR(H$3)-YEAR($E29))*12+MONTH(H$3)-MONTH($E29))/$G29,0)*$G29)+$G29),EDATE($E29,MAX(0,ROUNDUP(((YEAR(H$3)-YEAR($E29))*12+MONTH(H$3)-MONTH($E29))/$G29,0)*$G29)))&gt;=H$3,IF(EDATE($E29,MAX(0,ROUNDUP(((YEAR(H$3)-YEAR($E29))*12+MONTH(H$3)-MONTH($E29))/$G29,0)*$G29))&lt;H$3,EDATE($E29,MAX(0,ROUNDUP(((YEAR(H$3)-YEAR($E29))*12+MONTH(H$3)-MONTH($E29))/$G29,0)*$G29)+$G29),EDATE($E29,MAX(0,ROUNDUP(((YEAR(H$3)-YEAR($E29))*12+MONTH(H$3)-MONTH($E29))/$G29,0)*$G29)))&lt;=IF($F29="",H$4,MIN(H$4,$F29))),1,0)))))</f>
        <v>0</v>
      </c>
      <c r="I29" s="25" t="n">
        <f aca="false">IF(OR($C29="",$C29=0,$E29="",$B29="",$G29=-2),0,$C29*IF($G29=0,IF(IF($F29="",I$4,MIN(I$4,$F29))&lt;$E29,0,MAX(0,INT((IF($F29="",I$4,MIN(I$4,$F29))-$E29)/7)+1-MAX(0,ROUNDUP((I$3-$E29)/7,0)))),IF($G29=101,(AND(EOMONTH(I$3,0)&gt;=MAX(I$3,$E29),EOMONTH(I$3,0)&lt;=IF($F29="",I$4,MIN(I$4,$F29)))*1+AND(EOMONTH(I$4,0)&lt;&gt;EOMONTH(I$3,0),EOMONTH(I$4,0)&gt;=MAX(I$3,$E29),EOMONTH(I$4,0)&lt;=IF($F29="",I$4,MIN(I$4,$F29)))*1),IF($G29=102,(AND(WORKDAY(EOMONTH(I$3,0)+1,-3)&gt;=MAX(I$3,$E29),WORKDAY(EOMONTH(I$3,0)+1,-3)&lt;=IF($F29="",I$4,MIN(I$4,$F29)))*1+AND(WORKDAY(EOMONTH(I$4,0)+1,-3)&lt;&gt;WORKDAY(EOMONTH(I$3,0)+1,-3),WORKDAY(EOMONTH(I$4,0)+1,-3)&gt;=MAX(I$3,$E29),WORKDAY(EOMONTH(I$4,0)+1,-3)&lt;=IF($F29="",I$4,MIN(I$4,$F29)))*1),IF(AND(IF(EDATE($E29,MAX(0,ROUNDUP(((YEAR(I$3)-YEAR($E29))*12+MONTH(I$3)-MONTH($E29))/$G29,0)*$G29))&lt;I$3,EDATE($E29,MAX(0,ROUNDUP(((YEAR(I$3)-YEAR($E29))*12+MONTH(I$3)-MONTH($E29))/$G29,0)*$G29)+$G29),EDATE($E29,MAX(0,ROUNDUP(((YEAR(I$3)-YEAR($E29))*12+MONTH(I$3)-MONTH($E29))/$G29,0)*$G29)))&gt;=I$3,IF(EDATE($E29,MAX(0,ROUNDUP(((YEAR(I$3)-YEAR($E29))*12+MONTH(I$3)-MONTH($E29))/$G29,0)*$G29))&lt;I$3,EDATE($E29,MAX(0,ROUNDUP(((YEAR(I$3)-YEAR($E29))*12+MONTH(I$3)-MONTH($E29))/$G29,0)*$G29)+$G29),EDATE($E29,MAX(0,ROUNDUP(((YEAR(I$3)-YEAR($E29))*12+MONTH(I$3)-MONTH($E29))/$G29,0)*$G29)))&lt;=IF($F29="",I$4,MIN(I$4,$F29))),1,0)))))</f>
        <v>0</v>
      </c>
      <c r="J29" s="25" t="n">
        <f aca="false">IF(OR($C29="",$C29=0,$E29="",$B29="",$G29=-2),0,$C29*IF($G29=0,IF(IF($F29="",J$4,MIN(J$4,$F29))&lt;$E29,0,MAX(0,INT((IF($F29="",J$4,MIN(J$4,$F29))-$E29)/7)+1-MAX(0,ROUNDUP((J$3-$E29)/7,0)))),IF($G29=101,(AND(EOMONTH(J$3,0)&gt;=MAX(J$3,$E29),EOMONTH(J$3,0)&lt;=IF($F29="",J$4,MIN(J$4,$F29)))*1+AND(EOMONTH(J$4,0)&lt;&gt;EOMONTH(J$3,0),EOMONTH(J$4,0)&gt;=MAX(J$3,$E29),EOMONTH(J$4,0)&lt;=IF($F29="",J$4,MIN(J$4,$F29)))*1),IF($G29=102,(AND(WORKDAY(EOMONTH(J$3,0)+1,-3)&gt;=MAX(J$3,$E29),WORKDAY(EOMONTH(J$3,0)+1,-3)&lt;=IF($F29="",J$4,MIN(J$4,$F29)))*1+AND(WORKDAY(EOMONTH(J$4,0)+1,-3)&lt;&gt;WORKDAY(EOMONTH(J$3,0)+1,-3),WORKDAY(EOMONTH(J$4,0)+1,-3)&gt;=MAX(J$3,$E29),WORKDAY(EOMONTH(J$4,0)+1,-3)&lt;=IF($F29="",J$4,MIN(J$4,$F29)))*1),IF(AND(IF(EDATE($E29,MAX(0,ROUNDUP(((YEAR(J$3)-YEAR($E29))*12+MONTH(J$3)-MONTH($E29))/$G29,0)*$G29))&lt;J$3,EDATE($E29,MAX(0,ROUNDUP(((YEAR(J$3)-YEAR($E29))*12+MONTH(J$3)-MONTH($E29))/$G29,0)*$G29)+$G29),EDATE($E29,MAX(0,ROUNDUP(((YEAR(J$3)-YEAR($E29))*12+MONTH(J$3)-MONTH($E29))/$G29,0)*$G29)))&gt;=J$3,IF(EDATE($E29,MAX(0,ROUNDUP(((YEAR(J$3)-YEAR($E29))*12+MONTH(J$3)-MONTH($E29))/$G29,0)*$G29))&lt;J$3,EDATE($E29,MAX(0,ROUNDUP(((YEAR(J$3)-YEAR($E29))*12+MONTH(J$3)-MONTH($E29))/$G29,0)*$G29)+$G29),EDATE($E29,MAX(0,ROUNDUP(((YEAR(J$3)-YEAR($E29))*12+MONTH(J$3)-MONTH($E29))/$G29,0)*$G29)))&lt;=IF($F29="",J$4,MIN(J$4,$F29))),1,0)))))</f>
        <v>0</v>
      </c>
      <c r="K29" s="25" t="n">
        <f aca="false">IF(OR($C29="",$C29=0,$E29="",$B29="",$G29=-2),0,$C29*IF($G29=0,IF(IF($F29="",K$4,MIN(K$4,$F29))&lt;$E29,0,MAX(0,INT((IF($F29="",K$4,MIN(K$4,$F29))-$E29)/7)+1-MAX(0,ROUNDUP((K$3-$E29)/7,0)))),IF($G29=101,(AND(EOMONTH(K$3,0)&gt;=MAX(K$3,$E29),EOMONTH(K$3,0)&lt;=IF($F29="",K$4,MIN(K$4,$F29)))*1+AND(EOMONTH(K$4,0)&lt;&gt;EOMONTH(K$3,0),EOMONTH(K$4,0)&gt;=MAX(K$3,$E29),EOMONTH(K$4,0)&lt;=IF($F29="",K$4,MIN(K$4,$F29)))*1),IF($G29=102,(AND(WORKDAY(EOMONTH(K$3,0)+1,-3)&gt;=MAX(K$3,$E29),WORKDAY(EOMONTH(K$3,0)+1,-3)&lt;=IF($F29="",K$4,MIN(K$4,$F29)))*1+AND(WORKDAY(EOMONTH(K$4,0)+1,-3)&lt;&gt;WORKDAY(EOMONTH(K$3,0)+1,-3),WORKDAY(EOMONTH(K$4,0)+1,-3)&gt;=MAX(K$3,$E29),WORKDAY(EOMONTH(K$4,0)+1,-3)&lt;=IF($F29="",K$4,MIN(K$4,$F29)))*1),IF(AND(IF(EDATE($E29,MAX(0,ROUNDUP(((YEAR(K$3)-YEAR($E29))*12+MONTH(K$3)-MONTH($E29))/$G29,0)*$G29))&lt;K$3,EDATE($E29,MAX(0,ROUNDUP(((YEAR(K$3)-YEAR($E29))*12+MONTH(K$3)-MONTH($E29))/$G29,0)*$G29)+$G29),EDATE($E29,MAX(0,ROUNDUP(((YEAR(K$3)-YEAR($E29))*12+MONTH(K$3)-MONTH($E29))/$G29,0)*$G29)))&gt;=K$3,IF(EDATE($E29,MAX(0,ROUNDUP(((YEAR(K$3)-YEAR($E29))*12+MONTH(K$3)-MONTH($E29))/$G29,0)*$G29))&lt;K$3,EDATE($E29,MAX(0,ROUNDUP(((YEAR(K$3)-YEAR($E29))*12+MONTH(K$3)-MONTH($E29))/$G29,0)*$G29)+$G29),EDATE($E29,MAX(0,ROUNDUP(((YEAR(K$3)-YEAR($E29))*12+MONTH(K$3)-MONTH($E29))/$G29,0)*$G29)))&lt;=IF($F29="",K$4,MIN(K$4,$F29))),1,0)))))</f>
        <v>0</v>
      </c>
      <c r="L29" s="25" t="n">
        <f aca="false">IF(OR($C29="",$C29=0,$E29="",$B29="",$G29=-2),0,$C29*IF($G29=0,IF(IF($F29="",L$4,MIN(L$4,$F29))&lt;$E29,0,MAX(0,INT((IF($F29="",L$4,MIN(L$4,$F29))-$E29)/7)+1-MAX(0,ROUNDUP((L$3-$E29)/7,0)))),IF($G29=101,(AND(EOMONTH(L$3,0)&gt;=MAX(L$3,$E29),EOMONTH(L$3,0)&lt;=IF($F29="",L$4,MIN(L$4,$F29)))*1+AND(EOMONTH(L$4,0)&lt;&gt;EOMONTH(L$3,0),EOMONTH(L$4,0)&gt;=MAX(L$3,$E29),EOMONTH(L$4,0)&lt;=IF($F29="",L$4,MIN(L$4,$F29)))*1),IF($G29=102,(AND(WORKDAY(EOMONTH(L$3,0)+1,-3)&gt;=MAX(L$3,$E29),WORKDAY(EOMONTH(L$3,0)+1,-3)&lt;=IF($F29="",L$4,MIN(L$4,$F29)))*1+AND(WORKDAY(EOMONTH(L$4,0)+1,-3)&lt;&gt;WORKDAY(EOMONTH(L$3,0)+1,-3),WORKDAY(EOMONTH(L$4,0)+1,-3)&gt;=MAX(L$3,$E29),WORKDAY(EOMONTH(L$4,0)+1,-3)&lt;=IF($F29="",L$4,MIN(L$4,$F29)))*1),IF(AND(IF(EDATE($E29,MAX(0,ROUNDUP(((YEAR(L$3)-YEAR($E29))*12+MONTH(L$3)-MONTH($E29))/$G29,0)*$G29))&lt;L$3,EDATE($E29,MAX(0,ROUNDUP(((YEAR(L$3)-YEAR($E29))*12+MONTH(L$3)-MONTH($E29))/$G29,0)*$G29)+$G29),EDATE($E29,MAX(0,ROUNDUP(((YEAR(L$3)-YEAR($E29))*12+MONTH(L$3)-MONTH($E29))/$G29,0)*$G29)))&gt;=L$3,IF(EDATE($E29,MAX(0,ROUNDUP(((YEAR(L$3)-YEAR($E29))*12+MONTH(L$3)-MONTH($E29))/$G29,0)*$G29))&lt;L$3,EDATE($E29,MAX(0,ROUNDUP(((YEAR(L$3)-YEAR($E29))*12+MONTH(L$3)-MONTH($E29))/$G29,0)*$G29)+$G29),EDATE($E29,MAX(0,ROUNDUP(((YEAR(L$3)-YEAR($E29))*12+MONTH(L$3)-MONTH($E29))/$G29,0)*$G29)))&lt;=IF($F29="",L$4,MIN(L$4,$F29))),1,0)))))</f>
        <v>0</v>
      </c>
      <c r="M29" s="25" t="n">
        <f aca="false">IF(OR($C29="",$C29=0,$E29="",$B29="",$G29=-2),0,$C29*IF($G29=0,IF(IF($F29="",M$4,MIN(M$4,$F29))&lt;$E29,0,MAX(0,INT((IF($F29="",M$4,MIN(M$4,$F29))-$E29)/7)+1-MAX(0,ROUNDUP((M$3-$E29)/7,0)))),IF($G29=101,(AND(EOMONTH(M$3,0)&gt;=MAX(M$3,$E29),EOMONTH(M$3,0)&lt;=IF($F29="",M$4,MIN(M$4,$F29)))*1+AND(EOMONTH(M$4,0)&lt;&gt;EOMONTH(M$3,0),EOMONTH(M$4,0)&gt;=MAX(M$3,$E29),EOMONTH(M$4,0)&lt;=IF($F29="",M$4,MIN(M$4,$F29)))*1),IF($G29=102,(AND(WORKDAY(EOMONTH(M$3,0)+1,-3)&gt;=MAX(M$3,$E29),WORKDAY(EOMONTH(M$3,0)+1,-3)&lt;=IF($F29="",M$4,MIN(M$4,$F29)))*1+AND(WORKDAY(EOMONTH(M$4,0)+1,-3)&lt;&gt;WORKDAY(EOMONTH(M$3,0)+1,-3),WORKDAY(EOMONTH(M$4,0)+1,-3)&gt;=MAX(M$3,$E29),WORKDAY(EOMONTH(M$4,0)+1,-3)&lt;=IF($F29="",M$4,MIN(M$4,$F29)))*1),IF(AND(IF(EDATE($E29,MAX(0,ROUNDUP(((YEAR(M$3)-YEAR($E29))*12+MONTH(M$3)-MONTH($E29))/$G29,0)*$G29))&lt;M$3,EDATE($E29,MAX(0,ROUNDUP(((YEAR(M$3)-YEAR($E29))*12+MONTH(M$3)-MONTH($E29))/$G29,0)*$G29)+$G29),EDATE($E29,MAX(0,ROUNDUP(((YEAR(M$3)-YEAR($E29))*12+MONTH(M$3)-MONTH($E29))/$G29,0)*$G29)))&gt;=M$3,IF(EDATE($E29,MAX(0,ROUNDUP(((YEAR(M$3)-YEAR($E29))*12+MONTH(M$3)-MONTH($E29))/$G29,0)*$G29))&lt;M$3,EDATE($E29,MAX(0,ROUNDUP(((YEAR(M$3)-YEAR($E29))*12+MONTH(M$3)-MONTH($E29))/$G29,0)*$G29)+$G29),EDATE($E29,MAX(0,ROUNDUP(((YEAR(M$3)-YEAR($E29))*12+MONTH(M$3)-MONTH($E29))/$G29,0)*$G29)))&lt;=IF($F29="",M$4,MIN(M$4,$F29))),1,0)))))</f>
        <v>0</v>
      </c>
      <c r="N29" s="25" t="n">
        <f aca="false">IF(OR($C29="",$C29=0,$E29="",$B29="",$G29=-2),0,$C29*IF($G29=0,IF(IF($F29="",N$4,MIN(N$4,$F29))&lt;$E29,0,MAX(0,INT((IF($F29="",N$4,MIN(N$4,$F29))-$E29)/7)+1-MAX(0,ROUNDUP((N$3-$E29)/7,0)))),IF($G29=101,(AND(EOMONTH(N$3,0)&gt;=MAX(N$3,$E29),EOMONTH(N$3,0)&lt;=IF($F29="",N$4,MIN(N$4,$F29)))*1+AND(EOMONTH(N$4,0)&lt;&gt;EOMONTH(N$3,0),EOMONTH(N$4,0)&gt;=MAX(N$3,$E29),EOMONTH(N$4,0)&lt;=IF($F29="",N$4,MIN(N$4,$F29)))*1),IF($G29=102,(AND(WORKDAY(EOMONTH(N$3,0)+1,-3)&gt;=MAX(N$3,$E29),WORKDAY(EOMONTH(N$3,0)+1,-3)&lt;=IF($F29="",N$4,MIN(N$4,$F29)))*1+AND(WORKDAY(EOMONTH(N$4,0)+1,-3)&lt;&gt;WORKDAY(EOMONTH(N$3,0)+1,-3),WORKDAY(EOMONTH(N$4,0)+1,-3)&gt;=MAX(N$3,$E29),WORKDAY(EOMONTH(N$4,0)+1,-3)&lt;=IF($F29="",N$4,MIN(N$4,$F29)))*1),IF(AND(IF(EDATE($E29,MAX(0,ROUNDUP(((YEAR(N$3)-YEAR($E29))*12+MONTH(N$3)-MONTH($E29))/$G29,0)*$G29))&lt;N$3,EDATE($E29,MAX(0,ROUNDUP(((YEAR(N$3)-YEAR($E29))*12+MONTH(N$3)-MONTH($E29))/$G29,0)*$G29)+$G29),EDATE($E29,MAX(0,ROUNDUP(((YEAR(N$3)-YEAR($E29))*12+MONTH(N$3)-MONTH($E29))/$G29,0)*$G29)))&gt;=N$3,IF(EDATE($E29,MAX(0,ROUNDUP(((YEAR(N$3)-YEAR($E29))*12+MONTH(N$3)-MONTH($E29))/$G29,0)*$G29))&lt;N$3,EDATE($E29,MAX(0,ROUNDUP(((YEAR(N$3)-YEAR($E29))*12+MONTH(N$3)-MONTH($E29))/$G29,0)*$G29)+$G29),EDATE($E29,MAX(0,ROUNDUP(((YEAR(N$3)-YEAR($E29))*12+MONTH(N$3)-MONTH($E29))/$G29,0)*$G29)))&lt;=IF($F29="",N$4,MIN(N$4,$F29))),1,0)))))</f>
        <v>0</v>
      </c>
      <c r="O29" s="25" t="n">
        <f aca="false">IF(OR($C29="",$C29=0,$E29="",$B29="",$G29=-2),0,$C29*IF($G29=0,IF(IF($F29="",O$4,MIN(O$4,$F29))&lt;$E29,0,MAX(0,INT((IF($F29="",O$4,MIN(O$4,$F29))-$E29)/7)+1-MAX(0,ROUNDUP((O$3-$E29)/7,0)))),IF($G29=101,(AND(EOMONTH(O$3,0)&gt;=MAX(O$3,$E29),EOMONTH(O$3,0)&lt;=IF($F29="",O$4,MIN(O$4,$F29)))*1+AND(EOMONTH(O$4,0)&lt;&gt;EOMONTH(O$3,0),EOMONTH(O$4,0)&gt;=MAX(O$3,$E29),EOMONTH(O$4,0)&lt;=IF($F29="",O$4,MIN(O$4,$F29)))*1),IF($G29=102,(AND(WORKDAY(EOMONTH(O$3,0)+1,-3)&gt;=MAX(O$3,$E29),WORKDAY(EOMONTH(O$3,0)+1,-3)&lt;=IF($F29="",O$4,MIN(O$4,$F29)))*1+AND(WORKDAY(EOMONTH(O$4,0)+1,-3)&lt;&gt;WORKDAY(EOMONTH(O$3,0)+1,-3),WORKDAY(EOMONTH(O$4,0)+1,-3)&gt;=MAX(O$3,$E29),WORKDAY(EOMONTH(O$4,0)+1,-3)&lt;=IF($F29="",O$4,MIN(O$4,$F29)))*1),IF(AND(IF(EDATE($E29,MAX(0,ROUNDUP(((YEAR(O$3)-YEAR($E29))*12+MONTH(O$3)-MONTH($E29))/$G29,0)*$G29))&lt;O$3,EDATE($E29,MAX(0,ROUNDUP(((YEAR(O$3)-YEAR($E29))*12+MONTH(O$3)-MONTH($E29))/$G29,0)*$G29)+$G29),EDATE($E29,MAX(0,ROUNDUP(((YEAR(O$3)-YEAR($E29))*12+MONTH(O$3)-MONTH($E29))/$G29,0)*$G29)))&gt;=O$3,IF(EDATE($E29,MAX(0,ROUNDUP(((YEAR(O$3)-YEAR($E29))*12+MONTH(O$3)-MONTH($E29))/$G29,0)*$G29))&lt;O$3,EDATE($E29,MAX(0,ROUNDUP(((YEAR(O$3)-YEAR($E29))*12+MONTH(O$3)-MONTH($E29))/$G29,0)*$G29)+$G29),EDATE($E29,MAX(0,ROUNDUP(((YEAR(O$3)-YEAR($E29))*12+MONTH(O$3)-MONTH($E29))/$G29,0)*$G29)))&lt;=IF($F29="",O$4,MIN(O$4,$F29))),1,0)))))</f>
        <v>0</v>
      </c>
      <c r="P29" s="25" t="n">
        <f aca="false">IF(OR($C29="",$C29=0,$E29="",$B29="",$G29=-2),0,$C29*IF($G29=0,IF(IF($F29="",P$4,MIN(P$4,$F29))&lt;$E29,0,MAX(0,INT((IF($F29="",P$4,MIN(P$4,$F29))-$E29)/7)+1-MAX(0,ROUNDUP((P$3-$E29)/7,0)))),IF($G29=101,(AND(EOMONTH(P$3,0)&gt;=MAX(P$3,$E29),EOMONTH(P$3,0)&lt;=IF($F29="",P$4,MIN(P$4,$F29)))*1+AND(EOMONTH(P$4,0)&lt;&gt;EOMONTH(P$3,0),EOMONTH(P$4,0)&gt;=MAX(P$3,$E29),EOMONTH(P$4,0)&lt;=IF($F29="",P$4,MIN(P$4,$F29)))*1),IF($G29=102,(AND(WORKDAY(EOMONTH(P$3,0)+1,-3)&gt;=MAX(P$3,$E29),WORKDAY(EOMONTH(P$3,0)+1,-3)&lt;=IF($F29="",P$4,MIN(P$4,$F29)))*1+AND(WORKDAY(EOMONTH(P$4,0)+1,-3)&lt;&gt;WORKDAY(EOMONTH(P$3,0)+1,-3),WORKDAY(EOMONTH(P$4,0)+1,-3)&gt;=MAX(P$3,$E29),WORKDAY(EOMONTH(P$4,0)+1,-3)&lt;=IF($F29="",P$4,MIN(P$4,$F29)))*1),IF(AND(IF(EDATE($E29,MAX(0,ROUNDUP(((YEAR(P$3)-YEAR($E29))*12+MONTH(P$3)-MONTH($E29))/$G29,0)*$G29))&lt;P$3,EDATE($E29,MAX(0,ROUNDUP(((YEAR(P$3)-YEAR($E29))*12+MONTH(P$3)-MONTH($E29))/$G29,0)*$G29)+$G29),EDATE($E29,MAX(0,ROUNDUP(((YEAR(P$3)-YEAR($E29))*12+MONTH(P$3)-MONTH($E29))/$G29,0)*$G29)))&gt;=P$3,IF(EDATE($E29,MAX(0,ROUNDUP(((YEAR(P$3)-YEAR($E29))*12+MONTH(P$3)-MONTH($E29))/$G29,0)*$G29))&lt;P$3,EDATE($E29,MAX(0,ROUNDUP(((YEAR(P$3)-YEAR($E29))*12+MONTH(P$3)-MONTH($E29))/$G29,0)*$G29)+$G29),EDATE($E29,MAX(0,ROUNDUP(((YEAR(P$3)-YEAR($E29))*12+MONTH(P$3)-MONTH($E29))/$G29,0)*$G29)))&lt;=IF($F29="",P$4,MIN(P$4,$F29))),1,0)))))</f>
        <v>0</v>
      </c>
      <c r="Q29" s="25" t="n">
        <f aca="false">IF(OR($C29="",$C29=0,$E29="",$B29="",$G29=-2),0,$C29*IF($G29=0,IF(IF($F29="",Q$4,MIN(Q$4,$F29))&lt;$E29,0,MAX(0,INT((IF($F29="",Q$4,MIN(Q$4,$F29))-$E29)/7)+1-MAX(0,ROUNDUP((Q$3-$E29)/7,0)))),IF($G29=101,(AND(EOMONTH(Q$3,0)&gt;=MAX(Q$3,$E29),EOMONTH(Q$3,0)&lt;=IF($F29="",Q$4,MIN(Q$4,$F29)))*1+AND(EOMONTH(Q$4,0)&lt;&gt;EOMONTH(Q$3,0),EOMONTH(Q$4,0)&gt;=MAX(Q$3,$E29),EOMONTH(Q$4,0)&lt;=IF($F29="",Q$4,MIN(Q$4,$F29)))*1),IF($G29=102,(AND(WORKDAY(EOMONTH(Q$3,0)+1,-3)&gt;=MAX(Q$3,$E29),WORKDAY(EOMONTH(Q$3,0)+1,-3)&lt;=IF($F29="",Q$4,MIN(Q$4,$F29)))*1+AND(WORKDAY(EOMONTH(Q$4,0)+1,-3)&lt;&gt;WORKDAY(EOMONTH(Q$3,0)+1,-3),WORKDAY(EOMONTH(Q$4,0)+1,-3)&gt;=MAX(Q$3,$E29),WORKDAY(EOMONTH(Q$4,0)+1,-3)&lt;=IF($F29="",Q$4,MIN(Q$4,$F29)))*1),IF(AND(IF(EDATE($E29,MAX(0,ROUNDUP(((YEAR(Q$3)-YEAR($E29))*12+MONTH(Q$3)-MONTH($E29))/$G29,0)*$G29))&lt;Q$3,EDATE($E29,MAX(0,ROUNDUP(((YEAR(Q$3)-YEAR($E29))*12+MONTH(Q$3)-MONTH($E29))/$G29,0)*$G29)+$G29),EDATE($E29,MAX(0,ROUNDUP(((YEAR(Q$3)-YEAR($E29))*12+MONTH(Q$3)-MONTH($E29))/$G29,0)*$G29)))&gt;=Q$3,IF(EDATE($E29,MAX(0,ROUNDUP(((YEAR(Q$3)-YEAR($E29))*12+MONTH(Q$3)-MONTH($E29))/$G29,0)*$G29))&lt;Q$3,EDATE($E29,MAX(0,ROUNDUP(((YEAR(Q$3)-YEAR($E29))*12+MONTH(Q$3)-MONTH($E29))/$G29,0)*$G29)+$G29),EDATE($E29,MAX(0,ROUNDUP(((YEAR(Q$3)-YEAR($E29))*12+MONTH(Q$3)-MONTH($E29))/$G29,0)*$G29)))&lt;=IF($F29="",Q$4,MIN(Q$4,$F29))),1,0)))))</f>
        <v>0</v>
      </c>
      <c r="R29" s="25" t="n">
        <f aca="false">IF(OR($C29="",$C29=0,$E29="",$B29="",$G29=-2),0,$C29*IF($G29=0,IF(IF($F29="",R$4,MIN(R$4,$F29))&lt;$E29,0,MAX(0,INT((IF($F29="",R$4,MIN(R$4,$F29))-$E29)/7)+1-MAX(0,ROUNDUP((R$3-$E29)/7,0)))),IF($G29=101,(AND(EOMONTH(R$3,0)&gt;=MAX(R$3,$E29),EOMONTH(R$3,0)&lt;=IF($F29="",R$4,MIN(R$4,$F29)))*1+AND(EOMONTH(R$4,0)&lt;&gt;EOMONTH(R$3,0),EOMONTH(R$4,0)&gt;=MAX(R$3,$E29),EOMONTH(R$4,0)&lt;=IF($F29="",R$4,MIN(R$4,$F29)))*1),IF($G29=102,(AND(WORKDAY(EOMONTH(R$3,0)+1,-3)&gt;=MAX(R$3,$E29),WORKDAY(EOMONTH(R$3,0)+1,-3)&lt;=IF($F29="",R$4,MIN(R$4,$F29)))*1+AND(WORKDAY(EOMONTH(R$4,0)+1,-3)&lt;&gt;WORKDAY(EOMONTH(R$3,0)+1,-3),WORKDAY(EOMONTH(R$4,0)+1,-3)&gt;=MAX(R$3,$E29),WORKDAY(EOMONTH(R$4,0)+1,-3)&lt;=IF($F29="",R$4,MIN(R$4,$F29)))*1),IF(AND(IF(EDATE($E29,MAX(0,ROUNDUP(((YEAR(R$3)-YEAR($E29))*12+MONTH(R$3)-MONTH($E29))/$G29,0)*$G29))&lt;R$3,EDATE($E29,MAX(0,ROUNDUP(((YEAR(R$3)-YEAR($E29))*12+MONTH(R$3)-MONTH($E29))/$G29,0)*$G29)+$G29),EDATE($E29,MAX(0,ROUNDUP(((YEAR(R$3)-YEAR($E29))*12+MONTH(R$3)-MONTH($E29))/$G29,0)*$G29)))&gt;=R$3,IF(EDATE($E29,MAX(0,ROUNDUP(((YEAR(R$3)-YEAR($E29))*12+MONTH(R$3)-MONTH($E29))/$G29,0)*$G29))&lt;R$3,EDATE($E29,MAX(0,ROUNDUP(((YEAR(R$3)-YEAR($E29))*12+MONTH(R$3)-MONTH($E29))/$G29,0)*$G29)+$G29),EDATE($E29,MAX(0,ROUNDUP(((YEAR(R$3)-YEAR($E29))*12+MONTH(R$3)-MONTH($E29))/$G29,0)*$G29)))&lt;=IF($F29="",R$4,MIN(R$4,$F29))),1,0)))))</f>
        <v>0</v>
      </c>
      <c r="S29" s="25" t="n">
        <f aca="false">IF(OR($C29="",$C29=0,$E29="",$B29="",$G29=-2),0,$C29*IF($G29=0,IF(IF($F29="",S$4,MIN(S$4,$F29))&lt;$E29,0,MAX(0,INT((IF($F29="",S$4,MIN(S$4,$F29))-$E29)/7)+1-MAX(0,ROUNDUP((S$3-$E29)/7,0)))),IF($G29=101,(AND(EOMONTH(S$3,0)&gt;=MAX(S$3,$E29),EOMONTH(S$3,0)&lt;=IF($F29="",S$4,MIN(S$4,$F29)))*1+AND(EOMONTH(S$4,0)&lt;&gt;EOMONTH(S$3,0),EOMONTH(S$4,0)&gt;=MAX(S$3,$E29),EOMONTH(S$4,0)&lt;=IF($F29="",S$4,MIN(S$4,$F29)))*1),IF($G29=102,(AND(WORKDAY(EOMONTH(S$3,0)+1,-3)&gt;=MAX(S$3,$E29),WORKDAY(EOMONTH(S$3,0)+1,-3)&lt;=IF($F29="",S$4,MIN(S$4,$F29)))*1+AND(WORKDAY(EOMONTH(S$4,0)+1,-3)&lt;&gt;WORKDAY(EOMONTH(S$3,0)+1,-3),WORKDAY(EOMONTH(S$4,0)+1,-3)&gt;=MAX(S$3,$E29),WORKDAY(EOMONTH(S$4,0)+1,-3)&lt;=IF($F29="",S$4,MIN(S$4,$F29)))*1),IF(AND(IF(EDATE($E29,MAX(0,ROUNDUP(((YEAR(S$3)-YEAR($E29))*12+MONTH(S$3)-MONTH($E29))/$G29,0)*$G29))&lt;S$3,EDATE($E29,MAX(0,ROUNDUP(((YEAR(S$3)-YEAR($E29))*12+MONTH(S$3)-MONTH($E29))/$G29,0)*$G29)+$G29),EDATE($E29,MAX(0,ROUNDUP(((YEAR(S$3)-YEAR($E29))*12+MONTH(S$3)-MONTH($E29))/$G29,0)*$G29)))&gt;=S$3,IF(EDATE($E29,MAX(0,ROUNDUP(((YEAR(S$3)-YEAR($E29))*12+MONTH(S$3)-MONTH($E29))/$G29,0)*$G29))&lt;S$3,EDATE($E29,MAX(0,ROUNDUP(((YEAR(S$3)-YEAR($E29))*12+MONTH(S$3)-MONTH($E29))/$G29,0)*$G29)+$G29),EDATE($E29,MAX(0,ROUNDUP(((YEAR(S$3)-YEAR($E29))*12+MONTH(S$3)-MONTH($E29))/$G29,0)*$G29)))&lt;=IF($F29="",S$4,MIN(S$4,$F29))),1,0)))))</f>
        <v>0</v>
      </c>
      <c r="T29" s="25" t="n">
        <f aca="false">IF(OR($C29="",$C29=0,$E29="",$B29="",$G29=-2),0,$C29*IF($G29=0,IF(IF($F29="",T$4,MIN(T$4,$F29))&lt;$E29,0,MAX(0,INT((IF($F29="",T$4,MIN(T$4,$F29))-$E29)/7)+1-MAX(0,ROUNDUP((T$3-$E29)/7,0)))),IF($G29=101,(AND(EOMONTH(T$3,0)&gt;=MAX(T$3,$E29),EOMONTH(T$3,0)&lt;=IF($F29="",T$4,MIN(T$4,$F29)))*1+AND(EOMONTH(T$4,0)&lt;&gt;EOMONTH(T$3,0),EOMONTH(T$4,0)&gt;=MAX(T$3,$E29),EOMONTH(T$4,0)&lt;=IF($F29="",T$4,MIN(T$4,$F29)))*1),IF($G29=102,(AND(WORKDAY(EOMONTH(T$3,0)+1,-3)&gt;=MAX(T$3,$E29),WORKDAY(EOMONTH(T$3,0)+1,-3)&lt;=IF($F29="",T$4,MIN(T$4,$F29)))*1+AND(WORKDAY(EOMONTH(T$4,0)+1,-3)&lt;&gt;WORKDAY(EOMONTH(T$3,0)+1,-3),WORKDAY(EOMONTH(T$4,0)+1,-3)&gt;=MAX(T$3,$E29),WORKDAY(EOMONTH(T$4,0)+1,-3)&lt;=IF($F29="",T$4,MIN(T$4,$F29)))*1),IF(AND(IF(EDATE($E29,MAX(0,ROUNDUP(((YEAR(T$3)-YEAR($E29))*12+MONTH(T$3)-MONTH($E29))/$G29,0)*$G29))&lt;T$3,EDATE($E29,MAX(0,ROUNDUP(((YEAR(T$3)-YEAR($E29))*12+MONTH(T$3)-MONTH($E29))/$G29,0)*$G29)+$G29),EDATE($E29,MAX(0,ROUNDUP(((YEAR(T$3)-YEAR($E29))*12+MONTH(T$3)-MONTH($E29))/$G29,0)*$G29)))&gt;=T$3,IF(EDATE($E29,MAX(0,ROUNDUP(((YEAR(T$3)-YEAR($E29))*12+MONTH(T$3)-MONTH($E29))/$G29,0)*$G29))&lt;T$3,EDATE($E29,MAX(0,ROUNDUP(((YEAR(T$3)-YEAR($E29))*12+MONTH(T$3)-MONTH($E29))/$G29,0)*$G29)+$G29),EDATE($E29,MAX(0,ROUNDUP(((YEAR(T$3)-YEAR($E29))*12+MONTH(T$3)-MONTH($E29))/$G29,0)*$G29)))&lt;=IF($F29="",T$4,MIN(T$4,$F29))),1,0)))))</f>
        <v>0</v>
      </c>
      <c r="U29" s="25" t="n">
        <f aca="false">IF(OR($C29="",$C29=0,$E29="",$B29="",$G29=-2),0,$C29*IF($G29=0,IF(IF($F29="",U$4,MIN(U$4,$F29))&lt;$E29,0,MAX(0,INT((IF($F29="",U$4,MIN(U$4,$F29))-$E29)/7)+1-MAX(0,ROUNDUP((U$3-$E29)/7,0)))),IF($G29=101,(AND(EOMONTH(U$3,0)&gt;=MAX(U$3,$E29),EOMONTH(U$3,0)&lt;=IF($F29="",U$4,MIN(U$4,$F29)))*1+AND(EOMONTH(U$4,0)&lt;&gt;EOMONTH(U$3,0),EOMONTH(U$4,0)&gt;=MAX(U$3,$E29),EOMONTH(U$4,0)&lt;=IF($F29="",U$4,MIN(U$4,$F29)))*1),IF($G29=102,(AND(WORKDAY(EOMONTH(U$3,0)+1,-3)&gt;=MAX(U$3,$E29),WORKDAY(EOMONTH(U$3,0)+1,-3)&lt;=IF($F29="",U$4,MIN(U$4,$F29)))*1+AND(WORKDAY(EOMONTH(U$4,0)+1,-3)&lt;&gt;WORKDAY(EOMONTH(U$3,0)+1,-3),WORKDAY(EOMONTH(U$4,0)+1,-3)&gt;=MAX(U$3,$E29),WORKDAY(EOMONTH(U$4,0)+1,-3)&lt;=IF($F29="",U$4,MIN(U$4,$F29)))*1),IF(AND(IF(EDATE($E29,MAX(0,ROUNDUP(((YEAR(U$3)-YEAR($E29))*12+MONTH(U$3)-MONTH($E29))/$G29,0)*$G29))&lt;U$3,EDATE($E29,MAX(0,ROUNDUP(((YEAR(U$3)-YEAR($E29))*12+MONTH(U$3)-MONTH($E29))/$G29,0)*$G29)+$G29),EDATE($E29,MAX(0,ROUNDUP(((YEAR(U$3)-YEAR($E29))*12+MONTH(U$3)-MONTH($E29))/$G29,0)*$G29)))&gt;=U$3,IF(EDATE($E29,MAX(0,ROUNDUP(((YEAR(U$3)-YEAR($E29))*12+MONTH(U$3)-MONTH($E29))/$G29,0)*$G29))&lt;U$3,EDATE($E29,MAX(0,ROUNDUP(((YEAR(U$3)-YEAR($E29))*12+MONTH(U$3)-MONTH($E29))/$G29,0)*$G29)+$G29),EDATE($E29,MAX(0,ROUNDUP(((YEAR(U$3)-YEAR($E29))*12+MONTH(U$3)-MONTH($E29))/$G29,0)*$G29)))&lt;=IF($F29="",U$4,MIN(U$4,$F29))),1,0)))))</f>
        <v>0</v>
      </c>
      <c r="V29" s="25" t="n">
        <f aca="false">IF(OR($C29="",$C29=0,$E29="",$B29="",$G29=-2),0,$C29*IF($G29=0,IF(IF($F29="",V$4,MIN(V$4,$F29))&lt;$E29,0,MAX(0,INT((IF($F29="",V$4,MIN(V$4,$F29))-$E29)/7)+1-MAX(0,ROUNDUP((V$3-$E29)/7,0)))),IF($G29=101,(AND(EOMONTH(V$3,0)&gt;=MAX(V$3,$E29),EOMONTH(V$3,0)&lt;=IF($F29="",V$4,MIN(V$4,$F29)))*1+AND(EOMONTH(V$4,0)&lt;&gt;EOMONTH(V$3,0),EOMONTH(V$4,0)&gt;=MAX(V$3,$E29),EOMONTH(V$4,0)&lt;=IF($F29="",V$4,MIN(V$4,$F29)))*1),IF($G29=102,(AND(WORKDAY(EOMONTH(V$3,0)+1,-3)&gt;=MAX(V$3,$E29),WORKDAY(EOMONTH(V$3,0)+1,-3)&lt;=IF($F29="",V$4,MIN(V$4,$F29)))*1+AND(WORKDAY(EOMONTH(V$4,0)+1,-3)&lt;&gt;WORKDAY(EOMONTH(V$3,0)+1,-3),WORKDAY(EOMONTH(V$4,0)+1,-3)&gt;=MAX(V$3,$E29),WORKDAY(EOMONTH(V$4,0)+1,-3)&lt;=IF($F29="",V$4,MIN(V$4,$F29)))*1),IF(AND(IF(EDATE($E29,MAX(0,ROUNDUP(((YEAR(V$3)-YEAR($E29))*12+MONTH(V$3)-MONTH($E29))/$G29,0)*$G29))&lt;V$3,EDATE($E29,MAX(0,ROUNDUP(((YEAR(V$3)-YEAR($E29))*12+MONTH(V$3)-MONTH($E29))/$G29,0)*$G29)+$G29),EDATE($E29,MAX(0,ROUNDUP(((YEAR(V$3)-YEAR($E29))*12+MONTH(V$3)-MONTH($E29))/$G29,0)*$G29)))&gt;=V$3,IF(EDATE($E29,MAX(0,ROUNDUP(((YEAR(V$3)-YEAR($E29))*12+MONTH(V$3)-MONTH($E29))/$G29,0)*$G29))&lt;V$3,EDATE($E29,MAX(0,ROUNDUP(((YEAR(V$3)-YEAR($E29))*12+MONTH(V$3)-MONTH($E29))/$G29,0)*$G29)+$G29),EDATE($E29,MAX(0,ROUNDUP(((YEAR(V$3)-YEAR($E29))*12+MONTH(V$3)-MONTH($E29))/$G29,0)*$G29)))&lt;=IF($F29="",V$4,MIN(V$4,$F29))),1,0)))))</f>
        <v>0</v>
      </c>
      <c r="W29" s="25" t="n">
        <f aca="false">IF(OR($C29="",$C29=0,$E29="",$B29="",$G29=-2),0,$C29*IF($G29=0,IF(IF($F29="",W$4,MIN(W$4,$F29))&lt;$E29,0,MAX(0,INT((IF($F29="",W$4,MIN(W$4,$F29))-$E29)/7)+1-MAX(0,ROUNDUP((W$3-$E29)/7,0)))),IF($G29=101,(AND(EOMONTH(W$3,0)&gt;=MAX(W$3,$E29),EOMONTH(W$3,0)&lt;=IF($F29="",W$4,MIN(W$4,$F29)))*1+AND(EOMONTH(W$4,0)&lt;&gt;EOMONTH(W$3,0),EOMONTH(W$4,0)&gt;=MAX(W$3,$E29),EOMONTH(W$4,0)&lt;=IF($F29="",W$4,MIN(W$4,$F29)))*1),IF($G29=102,(AND(WORKDAY(EOMONTH(W$3,0)+1,-3)&gt;=MAX(W$3,$E29),WORKDAY(EOMONTH(W$3,0)+1,-3)&lt;=IF($F29="",W$4,MIN(W$4,$F29)))*1+AND(WORKDAY(EOMONTH(W$4,0)+1,-3)&lt;&gt;WORKDAY(EOMONTH(W$3,0)+1,-3),WORKDAY(EOMONTH(W$4,0)+1,-3)&gt;=MAX(W$3,$E29),WORKDAY(EOMONTH(W$4,0)+1,-3)&lt;=IF($F29="",W$4,MIN(W$4,$F29)))*1),IF(AND(IF(EDATE($E29,MAX(0,ROUNDUP(((YEAR(W$3)-YEAR($E29))*12+MONTH(W$3)-MONTH($E29))/$G29,0)*$G29))&lt;W$3,EDATE($E29,MAX(0,ROUNDUP(((YEAR(W$3)-YEAR($E29))*12+MONTH(W$3)-MONTH($E29))/$G29,0)*$G29)+$G29),EDATE($E29,MAX(0,ROUNDUP(((YEAR(W$3)-YEAR($E29))*12+MONTH(W$3)-MONTH($E29))/$G29,0)*$G29)))&gt;=W$3,IF(EDATE($E29,MAX(0,ROUNDUP(((YEAR(W$3)-YEAR($E29))*12+MONTH(W$3)-MONTH($E29))/$G29,0)*$G29))&lt;W$3,EDATE($E29,MAX(0,ROUNDUP(((YEAR(W$3)-YEAR($E29))*12+MONTH(W$3)-MONTH($E29))/$G29,0)*$G29)+$G29),EDATE($E29,MAX(0,ROUNDUP(((YEAR(W$3)-YEAR($E29))*12+MONTH(W$3)-MONTH($E29))/$G29,0)*$G29)))&lt;=IF($F29="",W$4,MIN(W$4,$F29))),1,0)))))</f>
        <v>0</v>
      </c>
      <c r="X29" s="25" t="n">
        <f aca="false">IF(OR($C29="",$C29=0,$E29="",$B29="",$G29=-2),0,$C29*IF($G29=0,IF(IF($F29="",X$4,MIN(X$4,$F29))&lt;$E29,0,MAX(0,INT((IF($F29="",X$4,MIN(X$4,$F29))-$E29)/7)+1-MAX(0,ROUNDUP((X$3-$E29)/7,0)))),IF($G29=101,(AND(EOMONTH(X$3,0)&gt;=MAX(X$3,$E29),EOMONTH(X$3,0)&lt;=IF($F29="",X$4,MIN(X$4,$F29)))*1+AND(EOMONTH(X$4,0)&lt;&gt;EOMONTH(X$3,0),EOMONTH(X$4,0)&gt;=MAX(X$3,$E29),EOMONTH(X$4,0)&lt;=IF($F29="",X$4,MIN(X$4,$F29)))*1),IF($G29=102,(AND(WORKDAY(EOMONTH(X$3,0)+1,-3)&gt;=MAX(X$3,$E29),WORKDAY(EOMONTH(X$3,0)+1,-3)&lt;=IF($F29="",X$4,MIN(X$4,$F29)))*1+AND(WORKDAY(EOMONTH(X$4,0)+1,-3)&lt;&gt;WORKDAY(EOMONTH(X$3,0)+1,-3),WORKDAY(EOMONTH(X$4,0)+1,-3)&gt;=MAX(X$3,$E29),WORKDAY(EOMONTH(X$4,0)+1,-3)&lt;=IF($F29="",X$4,MIN(X$4,$F29)))*1),IF(AND(IF(EDATE($E29,MAX(0,ROUNDUP(((YEAR(X$3)-YEAR($E29))*12+MONTH(X$3)-MONTH($E29))/$G29,0)*$G29))&lt;X$3,EDATE($E29,MAX(0,ROUNDUP(((YEAR(X$3)-YEAR($E29))*12+MONTH(X$3)-MONTH($E29))/$G29,0)*$G29)+$G29),EDATE($E29,MAX(0,ROUNDUP(((YEAR(X$3)-YEAR($E29))*12+MONTH(X$3)-MONTH($E29))/$G29,0)*$G29)))&gt;=X$3,IF(EDATE($E29,MAX(0,ROUNDUP(((YEAR(X$3)-YEAR($E29))*12+MONTH(X$3)-MONTH($E29))/$G29,0)*$G29))&lt;X$3,EDATE($E29,MAX(0,ROUNDUP(((YEAR(X$3)-YEAR($E29))*12+MONTH(X$3)-MONTH($E29))/$G29,0)*$G29)+$G29),EDATE($E29,MAX(0,ROUNDUP(((YEAR(X$3)-YEAR($E29))*12+MONTH(X$3)-MONTH($E29))/$G29,0)*$G29)))&lt;=IF($F29="",X$4,MIN(X$4,$F29))),1,0)))))</f>
        <v>0</v>
      </c>
      <c r="Y29" s="25" t="n">
        <f aca="false">IF(OR($C29="",$C29=0,$E29="",$B29="",$G29=-2),0,$C29*IF($G29=0,IF(IF($F29="",Y$4,MIN(Y$4,$F29))&lt;$E29,0,MAX(0,INT((IF($F29="",Y$4,MIN(Y$4,$F29))-$E29)/7)+1-MAX(0,ROUNDUP((Y$3-$E29)/7,0)))),IF($G29=101,(AND(EOMONTH(Y$3,0)&gt;=MAX(Y$3,$E29),EOMONTH(Y$3,0)&lt;=IF($F29="",Y$4,MIN(Y$4,$F29)))*1+AND(EOMONTH(Y$4,0)&lt;&gt;EOMONTH(Y$3,0),EOMONTH(Y$4,0)&gt;=MAX(Y$3,$E29),EOMONTH(Y$4,0)&lt;=IF($F29="",Y$4,MIN(Y$4,$F29)))*1),IF($G29=102,(AND(WORKDAY(EOMONTH(Y$3,0)+1,-3)&gt;=MAX(Y$3,$E29),WORKDAY(EOMONTH(Y$3,0)+1,-3)&lt;=IF($F29="",Y$4,MIN(Y$4,$F29)))*1+AND(WORKDAY(EOMONTH(Y$4,0)+1,-3)&lt;&gt;WORKDAY(EOMONTH(Y$3,0)+1,-3),WORKDAY(EOMONTH(Y$4,0)+1,-3)&gt;=MAX(Y$3,$E29),WORKDAY(EOMONTH(Y$4,0)+1,-3)&lt;=IF($F29="",Y$4,MIN(Y$4,$F29)))*1),IF(AND(IF(EDATE($E29,MAX(0,ROUNDUP(((YEAR(Y$3)-YEAR($E29))*12+MONTH(Y$3)-MONTH($E29))/$G29,0)*$G29))&lt;Y$3,EDATE($E29,MAX(0,ROUNDUP(((YEAR(Y$3)-YEAR($E29))*12+MONTH(Y$3)-MONTH($E29))/$G29,0)*$G29)+$G29),EDATE($E29,MAX(0,ROUNDUP(((YEAR(Y$3)-YEAR($E29))*12+MONTH(Y$3)-MONTH($E29))/$G29,0)*$G29)))&gt;=Y$3,IF(EDATE($E29,MAX(0,ROUNDUP(((YEAR(Y$3)-YEAR($E29))*12+MONTH(Y$3)-MONTH($E29))/$G29,0)*$G29))&lt;Y$3,EDATE($E29,MAX(0,ROUNDUP(((YEAR(Y$3)-YEAR($E29))*12+MONTH(Y$3)-MONTH($E29))/$G29,0)*$G29)+$G29),EDATE($E29,MAX(0,ROUNDUP(((YEAR(Y$3)-YEAR($E29))*12+MONTH(Y$3)-MONTH($E29))/$G29,0)*$G29)))&lt;=IF($F29="",Y$4,MIN(Y$4,$F29))),1,0)))))</f>
        <v>0</v>
      </c>
      <c r="Z29" s="25" t="n">
        <f aca="false">IF(OR($C29="",$C29=0,$E29="",$B29="",$G29=-2),0,$C29*IF($G29=0,IF(IF($F29="",Z$4,MIN(Z$4,$F29))&lt;$E29,0,MAX(0,INT((IF($F29="",Z$4,MIN(Z$4,$F29))-$E29)/7)+1-MAX(0,ROUNDUP((Z$3-$E29)/7,0)))),IF($G29=101,(AND(EOMONTH(Z$3,0)&gt;=MAX(Z$3,$E29),EOMONTH(Z$3,0)&lt;=IF($F29="",Z$4,MIN(Z$4,$F29)))*1+AND(EOMONTH(Z$4,0)&lt;&gt;EOMONTH(Z$3,0),EOMONTH(Z$4,0)&gt;=MAX(Z$3,$E29),EOMONTH(Z$4,0)&lt;=IF($F29="",Z$4,MIN(Z$4,$F29)))*1),IF($G29=102,(AND(WORKDAY(EOMONTH(Z$3,0)+1,-3)&gt;=MAX(Z$3,$E29),WORKDAY(EOMONTH(Z$3,0)+1,-3)&lt;=IF($F29="",Z$4,MIN(Z$4,$F29)))*1+AND(WORKDAY(EOMONTH(Z$4,0)+1,-3)&lt;&gt;WORKDAY(EOMONTH(Z$3,0)+1,-3),WORKDAY(EOMONTH(Z$4,0)+1,-3)&gt;=MAX(Z$3,$E29),WORKDAY(EOMONTH(Z$4,0)+1,-3)&lt;=IF($F29="",Z$4,MIN(Z$4,$F29)))*1),IF(AND(IF(EDATE($E29,MAX(0,ROUNDUP(((YEAR(Z$3)-YEAR($E29))*12+MONTH(Z$3)-MONTH($E29))/$G29,0)*$G29))&lt;Z$3,EDATE($E29,MAX(0,ROUNDUP(((YEAR(Z$3)-YEAR($E29))*12+MONTH(Z$3)-MONTH($E29))/$G29,0)*$G29)+$G29),EDATE($E29,MAX(0,ROUNDUP(((YEAR(Z$3)-YEAR($E29))*12+MONTH(Z$3)-MONTH($E29))/$G29,0)*$G29)))&gt;=Z$3,IF(EDATE($E29,MAX(0,ROUNDUP(((YEAR(Z$3)-YEAR($E29))*12+MONTH(Z$3)-MONTH($E29))/$G29,0)*$G29))&lt;Z$3,EDATE($E29,MAX(0,ROUNDUP(((YEAR(Z$3)-YEAR($E29))*12+MONTH(Z$3)-MONTH($E29))/$G29,0)*$G29)+$G29),EDATE($E29,MAX(0,ROUNDUP(((YEAR(Z$3)-YEAR($E29))*12+MONTH(Z$3)-MONTH($E29))/$G29,0)*$G29)))&lt;=IF($F29="",Z$4,MIN(Z$4,$F29))),1,0)))))</f>
        <v>0</v>
      </c>
      <c r="AA29" s="25" t="n">
        <f aca="false">IF(OR($C29="",$C29=0,$E29="",$B29="",$G29=-2),0,$C29*IF($G29=0,IF(IF($F29="",AA$4,MIN(AA$4,$F29))&lt;$E29,0,MAX(0,INT((IF($F29="",AA$4,MIN(AA$4,$F29))-$E29)/7)+1-MAX(0,ROUNDUP((AA$3-$E29)/7,0)))),IF($G29=101,(AND(EOMONTH(AA$3,0)&gt;=MAX(AA$3,$E29),EOMONTH(AA$3,0)&lt;=IF($F29="",AA$4,MIN(AA$4,$F29)))*1+AND(EOMONTH(AA$4,0)&lt;&gt;EOMONTH(AA$3,0),EOMONTH(AA$4,0)&gt;=MAX(AA$3,$E29),EOMONTH(AA$4,0)&lt;=IF($F29="",AA$4,MIN(AA$4,$F29)))*1),IF($G29=102,(AND(WORKDAY(EOMONTH(AA$3,0)+1,-3)&gt;=MAX(AA$3,$E29),WORKDAY(EOMONTH(AA$3,0)+1,-3)&lt;=IF($F29="",AA$4,MIN(AA$4,$F29)))*1+AND(WORKDAY(EOMONTH(AA$4,0)+1,-3)&lt;&gt;WORKDAY(EOMONTH(AA$3,0)+1,-3),WORKDAY(EOMONTH(AA$4,0)+1,-3)&gt;=MAX(AA$3,$E29),WORKDAY(EOMONTH(AA$4,0)+1,-3)&lt;=IF($F29="",AA$4,MIN(AA$4,$F29)))*1),IF(AND(IF(EDATE($E29,MAX(0,ROUNDUP(((YEAR(AA$3)-YEAR($E29))*12+MONTH(AA$3)-MONTH($E29))/$G29,0)*$G29))&lt;AA$3,EDATE($E29,MAX(0,ROUNDUP(((YEAR(AA$3)-YEAR($E29))*12+MONTH(AA$3)-MONTH($E29))/$G29,0)*$G29)+$G29),EDATE($E29,MAX(0,ROUNDUP(((YEAR(AA$3)-YEAR($E29))*12+MONTH(AA$3)-MONTH($E29))/$G29,0)*$G29)))&gt;=AA$3,IF(EDATE($E29,MAX(0,ROUNDUP(((YEAR(AA$3)-YEAR($E29))*12+MONTH(AA$3)-MONTH($E29))/$G29,0)*$G29))&lt;AA$3,EDATE($E29,MAX(0,ROUNDUP(((YEAR(AA$3)-YEAR($E29))*12+MONTH(AA$3)-MONTH($E29))/$G29,0)*$G29)+$G29),EDATE($E29,MAX(0,ROUNDUP(((YEAR(AA$3)-YEAR($E29))*12+MONTH(AA$3)-MONTH($E29))/$G29,0)*$G29)))&lt;=IF($F29="",AA$4,MIN(AA$4,$F29))),1,0)))))</f>
        <v>0</v>
      </c>
      <c r="AB29" s="25" t="n">
        <f aca="false">IF(OR($C29="",$C29=0,$E29="",$B29="",$G29=-2),0,$C29*IF($G29=0,IF(IF($F29="",AB$4,MIN(AB$4,$F29))&lt;$E29,0,MAX(0,INT((IF($F29="",AB$4,MIN(AB$4,$F29))-$E29)/7)+1-MAX(0,ROUNDUP((AB$3-$E29)/7,0)))),IF($G29=101,(AND(EOMONTH(AB$3,0)&gt;=MAX(AB$3,$E29),EOMONTH(AB$3,0)&lt;=IF($F29="",AB$4,MIN(AB$4,$F29)))*1+AND(EOMONTH(AB$4,0)&lt;&gt;EOMONTH(AB$3,0),EOMONTH(AB$4,0)&gt;=MAX(AB$3,$E29),EOMONTH(AB$4,0)&lt;=IF($F29="",AB$4,MIN(AB$4,$F29)))*1),IF($G29=102,(AND(WORKDAY(EOMONTH(AB$3,0)+1,-3)&gt;=MAX(AB$3,$E29),WORKDAY(EOMONTH(AB$3,0)+1,-3)&lt;=IF($F29="",AB$4,MIN(AB$4,$F29)))*1+AND(WORKDAY(EOMONTH(AB$4,0)+1,-3)&lt;&gt;WORKDAY(EOMONTH(AB$3,0)+1,-3),WORKDAY(EOMONTH(AB$4,0)+1,-3)&gt;=MAX(AB$3,$E29),WORKDAY(EOMONTH(AB$4,0)+1,-3)&lt;=IF($F29="",AB$4,MIN(AB$4,$F29)))*1),IF(AND(IF(EDATE($E29,MAX(0,ROUNDUP(((YEAR(AB$3)-YEAR($E29))*12+MONTH(AB$3)-MONTH($E29))/$G29,0)*$G29))&lt;AB$3,EDATE($E29,MAX(0,ROUNDUP(((YEAR(AB$3)-YEAR($E29))*12+MONTH(AB$3)-MONTH($E29))/$G29,0)*$G29)+$G29),EDATE($E29,MAX(0,ROUNDUP(((YEAR(AB$3)-YEAR($E29))*12+MONTH(AB$3)-MONTH($E29))/$G29,0)*$G29)))&gt;=AB$3,IF(EDATE($E29,MAX(0,ROUNDUP(((YEAR(AB$3)-YEAR($E29))*12+MONTH(AB$3)-MONTH($E29))/$G29,0)*$G29))&lt;AB$3,EDATE($E29,MAX(0,ROUNDUP(((YEAR(AB$3)-YEAR($E29))*12+MONTH(AB$3)-MONTH($E29))/$G29,0)*$G29)+$G29),EDATE($E29,MAX(0,ROUNDUP(((YEAR(AB$3)-YEAR($E29))*12+MONTH(AB$3)-MONTH($E29))/$G29,0)*$G29)))&lt;=IF($F29="",AB$4,MIN(AB$4,$F29))),1,0)))))</f>
        <v>0</v>
      </c>
      <c r="AC29" s="25" t="n">
        <f aca="false">IF(OR($C29="",$C29=0,$E29="",$B29="",$G29=-2),0,$C29*IF($G29=0,IF(IF($F29="",AC$4,MIN(AC$4,$F29))&lt;$E29,0,MAX(0,INT((IF($F29="",AC$4,MIN(AC$4,$F29))-$E29)/7)+1-MAX(0,ROUNDUP((AC$3-$E29)/7,0)))),IF($G29=101,(AND(EOMONTH(AC$3,0)&gt;=MAX(AC$3,$E29),EOMONTH(AC$3,0)&lt;=IF($F29="",AC$4,MIN(AC$4,$F29)))*1+AND(EOMONTH(AC$4,0)&lt;&gt;EOMONTH(AC$3,0),EOMONTH(AC$4,0)&gt;=MAX(AC$3,$E29),EOMONTH(AC$4,0)&lt;=IF($F29="",AC$4,MIN(AC$4,$F29)))*1),IF($G29=102,(AND(WORKDAY(EOMONTH(AC$3,0)+1,-3)&gt;=MAX(AC$3,$E29),WORKDAY(EOMONTH(AC$3,0)+1,-3)&lt;=IF($F29="",AC$4,MIN(AC$4,$F29)))*1+AND(WORKDAY(EOMONTH(AC$4,0)+1,-3)&lt;&gt;WORKDAY(EOMONTH(AC$3,0)+1,-3),WORKDAY(EOMONTH(AC$4,0)+1,-3)&gt;=MAX(AC$3,$E29),WORKDAY(EOMONTH(AC$4,0)+1,-3)&lt;=IF($F29="",AC$4,MIN(AC$4,$F29)))*1),IF(AND(IF(EDATE($E29,MAX(0,ROUNDUP(((YEAR(AC$3)-YEAR($E29))*12+MONTH(AC$3)-MONTH($E29))/$G29,0)*$G29))&lt;AC$3,EDATE($E29,MAX(0,ROUNDUP(((YEAR(AC$3)-YEAR($E29))*12+MONTH(AC$3)-MONTH($E29))/$G29,0)*$G29)+$G29),EDATE($E29,MAX(0,ROUNDUP(((YEAR(AC$3)-YEAR($E29))*12+MONTH(AC$3)-MONTH($E29))/$G29,0)*$G29)))&gt;=AC$3,IF(EDATE($E29,MAX(0,ROUNDUP(((YEAR(AC$3)-YEAR($E29))*12+MONTH(AC$3)-MONTH($E29))/$G29,0)*$G29))&lt;AC$3,EDATE($E29,MAX(0,ROUNDUP(((YEAR(AC$3)-YEAR($E29))*12+MONTH(AC$3)-MONTH($E29))/$G29,0)*$G29)+$G29),EDATE($E29,MAX(0,ROUNDUP(((YEAR(AC$3)-YEAR($E29))*12+MONTH(AC$3)-MONTH($E29))/$G29,0)*$G29)))&lt;=IF($F29="",AC$4,MIN(AC$4,$F29))),1,0)))))</f>
        <v>0</v>
      </c>
      <c r="AD29" s="25" t="n">
        <f aca="false">IF(OR($C29="",$C29=0,$E29="",$B29="",$G29=-2),0,$C29*IF($G29=0,IF(IF($F29="",AD$4,MIN(AD$4,$F29))&lt;$E29,0,MAX(0,INT((IF($F29="",AD$4,MIN(AD$4,$F29))-$E29)/7)+1-MAX(0,ROUNDUP((AD$3-$E29)/7,0)))),IF($G29=101,(AND(EOMONTH(AD$3,0)&gt;=MAX(AD$3,$E29),EOMONTH(AD$3,0)&lt;=IF($F29="",AD$4,MIN(AD$4,$F29)))*1+AND(EOMONTH(AD$4,0)&lt;&gt;EOMONTH(AD$3,0),EOMONTH(AD$4,0)&gt;=MAX(AD$3,$E29),EOMONTH(AD$4,0)&lt;=IF($F29="",AD$4,MIN(AD$4,$F29)))*1),IF($G29=102,(AND(WORKDAY(EOMONTH(AD$3,0)+1,-3)&gt;=MAX(AD$3,$E29),WORKDAY(EOMONTH(AD$3,0)+1,-3)&lt;=IF($F29="",AD$4,MIN(AD$4,$F29)))*1+AND(WORKDAY(EOMONTH(AD$4,0)+1,-3)&lt;&gt;WORKDAY(EOMONTH(AD$3,0)+1,-3),WORKDAY(EOMONTH(AD$4,0)+1,-3)&gt;=MAX(AD$3,$E29),WORKDAY(EOMONTH(AD$4,0)+1,-3)&lt;=IF($F29="",AD$4,MIN(AD$4,$F29)))*1),IF(AND(IF(EDATE($E29,MAX(0,ROUNDUP(((YEAR(AD$3)-YEAR($E29))*12+MONTH(AD$3)-MONTH($E29))/$G29,0)*$G29))&lt;AD$3,EDATE($E29,MAX(0,ROUNDUP(((YEAR(AD$3)-YEAR($E29))*12+MONTH(AD$3)-MONTH($E29))/$G29,0)*$G29)+$G29),EDATE($E29,MAX(0,ROUNDUP(((YEAR(AD$3)-YEAR($E29))*12+MONTH(AD$3)-MONTH($E29))/$G29,0)*$G29)))&gt;=AD$3,IF(EDATE($E29,MAX(0,ROUNDUP(((YEAR(AD$3)-YEAR($E29))*12+MONTH(AD$3)-MONTH($E29))/$G29,0)*$G29))&lt;AD$3,EDATE($E29,MAX(0,ROUNDUP(((YEAR(AD$3)-YEAR($E29))*12+MONTH(AD$3)-MONTH($E29))/$G29,0)*$G29)+$G29),EDATE($E29,MAX(0,ROUNDUP(((YEAR(AD$3)-YEAR($E29))*12+MONTH(AD$3)-MONTH($E29))/$G29,0)*$G29)))&lt;=IF($F29="",AD$4,MIN(AD$4,$F29))),1,0)))))</f>
        <v>0</v>
      </c>
      <c r="AE29" s="25" t="n">
        <f aca="false">IF(OR($C29="",$C29=0,$E29="",$B29="",$G29=-2),0,$C29*IF($G29=0,IF(IF($F29="",AE$4,MIN(AE$4,$F29))&lt;$E29,0,MAX(0,INT((IF($F29="",AE$4,MIN(AE$4,$F29))-$E29)/7)+1-MAX(0,ROUNDUP((AE$3-$E29)/7,0)))),IF($G29=101,(AND(EOMONTH(AE$3,0)&gt;=MAX(AE$3,$E29),EOMONTH(AE$3,0)&lt;=IF($F29="",AE$4,MIN(AE$4,$F29)))*1+AND(EOMONTH(AE$4,0)&lt;&gt;EOMONTH(AE$3,0),EOMONTH(AE$4,0)&gt;=MAX(AE$3,$E29),EOMONTH(AE$4,0)&lt;=IF($F29="",AE$4,MIN(AE$4,$F29)))*1),IF($G29=102,(AND(WORKDAY(EOMONTH(AE$3,0)+1,-3)&gt;=MAX(AE$3,$E29),WORKDAY(EOMONTH(AE$3,0)+1,-3)&lt;=IF($F29="",AE$4,MIN(AE$4,$F29)))*1+AND(WORKDAY(EOMONTH(AE$4,0)+1,-3)&lt;&gt;WORKDAY(EOMONTH(AE$3,0)+1,-3),WORKDAY(EOMONTH(AE$4,0)+1,-3)&gt;=MAX(AE$3,$E29),WORKDAY(EOMONTH(AE$4,0)+1,-3)&lt;=IF($F29="",AE$4,MIN(AE$4,$F29)))*1),IF(AND(IF(EDATE($E29,MAX(0,ROUNDUP(((YEAR(AE$3)-YEAR($E29))*12+MONTH(AE$3)-MONTH($E29))/$G29,0)*$G29))&lt;AE$3,EDATE($E29,MAX(0,ROUNDUP(((YEAR(AE$3)-YEAR($E29))*12+MONTH(AE$3)-MONTH($E29))/$G29,0)*$G29)+$G29),EDATE($E29,MAX(0,ROUNDUP(((YEAR(AE$3)-YEAR($E29))*12+MONTH(AE$3)-MONTH($E29))/$G29,0)*$G29)))&gt;=AE$3,IF(EDATE($E29,MAX(0,ROUNDUP(((YEAR(AE$3)-YEAR($E29))*12+MONTH(AE$3)-MONTH($E29))/$G29,0)*$G29))&lt;AE$3,EDATE($E29,MAX(0,ROUNDUP(((YEAR(AE$3)-YEAR($E29))*12+MONTH(AE$3)-MONTH($E29))/$G29,0)*$G29)+$G29),EDATE($E29,MAX(0,ROUNDUP(((YEAR(AE$3)-YEAR($E29))*12+MONTH(AE$3)-MONTH($E29))/$G29,0)*$G29)))&lt;=IF($F29="",AE$4,MIN(AE$4,$F29))),1,0)))))</f>
        <v>0</v>
      </c>
      <c r="AF29" s="25" t="n">
        <f aca="false">IF(OR($C29="",$C29=0,$E29="",$B29="",$G29=-2),0,$C29*IF($G29=0,IF(IF($F29="",AF$4,MIN(AF$4,$F29))&lt;$E29,0,MAX(0,INT((IF($F29="",AF$4,MIN(AF$4,$F29))-$E29)/7)+1-MAX(0,ROUNDUP((AF$3-$E29)/7,0)))),IF($G29=101,(AND(EOMONTH(AF$3,0)&gt;=MAX(AF$3,$E29),EOMONTH(AF$3,0)&lt;=IF($F29="",AF$4,MIN(AF$4,$F29)))*1+AND(EOMONTH(AF$4,0)&lt;&gt;EOMONTH(AF$3,0),EOMONTH(AF$4,0)&gt;=MAX(AF$3,$E29),EOMONTH(AF$4,0)&lt;=IF($F29="",AF$4,MIN(AF$4,$F29)))*1),IF($G29=102,(AND(WORKDAY(EOMONTH(AF$3,0)+1,-3)&gt;=MAX(AF$3,$E29),WORKDAY(EOMONTH(AF$3,0)+1,-3)&lt;=IF($F29="",AF$4,MIN(AF$4,$F29)))*1+AND(WORKDAY(EOMONTH(AF$4,0)+1,-3)&lt;&gt;WORKDAY(EOMONTH(AF$3,0)+1,-3),WORKDAY(EOMONTH(AF$4,0)+1,-3)&gt;=MAX(AF$3,$E29),WORKDAY(EOMONTH(AF$4,0)+1,-3)&lt;=IF($F29="",AF$4,MIN(AF$4,$F29)))*1),IF(AND(IF(EDATE($E29,MAX(0,ROUNDUP(((YEAR(AF$3)-YEAR($E29))*12+MONTH(AF$3)-MONTH($E29))/$G29,0)*$G29))&lt;AF$3,EDATE($E29,MAX(0,ROUNDUP(((YEAR(AF$3)-YEAR($E29))*12+MONTH(AF$3)-MONTH($E29))/$G29,0)*$G29)+$G29),EDATE($E29,MAX(0,ROUNDUP(((YEAR(AF$3)-YEAR($E29))*12+MONTH(AF$3)-MONTH($E29))/$G29,0)*$G29)))&gt;=AF$3,IF(EDATE($E29,MAX(0,ROUNDUP(((YEAR(AF$3)-YEAR($E29))*12+MONTH(AF$3)-MONTH($E29))/$G29,0)*$G29))&lt;AF$3,EDATE($E29,MAX(0,ROUNDUP(((YEAR(AF$3)-YEAR($E29))*12+MONTH(AF$3)-MONTH($E29))/$G29,0)*$G29)+$G29),EDATE($E29,MAX(0,ROUNDUP(((YEAR(AF$3)-YEAR($E29))*12+MONTH(AF$3)-MONTH($E29))/$G29,0)*$G29)))&lt;=IF($F29="",AF$4,MIN(AF$4,$F29))),1,0)))))</f>
        <v>0</v>
      </c>
    </row>
    <row r="30" customFormat="false" ht="15" hidden="false" customHeight="false" outlineLevel="0" collapsed="false">
      <c r="A30" s="5"/>
      <c r="B30" s="5"/>
      <c r="C30" s="8"/>
      <c r="D30" s="5"/>
      <c r="E30" s="7"/>
      <c r="F30" s="7"/>
      <c r="G30" s="24" t="n">
        <f aca="false">IFERROR(INDEX(Listen!$E$2:$E$8,MATCH(D30,Listen!$D$2:$D$8,0)),-2)</f>
        <v>-2</v>
      </c>
      <c r="H30" s="25" t="n">
        <f aca="false">IF(OR($C30="",$C30=0,$E30="",$B30="",$G30=-2),0,$C30*IF($G30=0,IF(IF($F30="",H$4,MIN(H$4,$F30))&lt;$E30,0,MAX(0,INT((IF($F30="",H$4,MIN(H$4,$F30))-$E30)/7)+1-MAX(0,ROUNDUP((H$3-$E30)/7,0)))),IF($G30=101,(AND(EOMONTH(H$3,0)&gt;=MAX(H$3,$E30),EOMONTH(H$3,0)&lt;=IF($F30="",H$4,MIN(H$4,$F30)))*1+AND(EOMONTH(H$4,0)&lt;&gt;EOMONTH(H$3,0),EOMONTH(H$4,0)&gt;=MAX(H$3,$E30),EOMONTH(H$4,0)&lt;=IF($F30="",H$4,MIN(H$4,$F30)))*1),IF($G30=102,(AND(WORKDAY(EOMONTH(H$3,0)+1,-3)&gt;=MAX(H$3,$E30),WORKDAY(EOMONTH(H$3,0)+1,-3)&lt;=IF($F30="",H$4,MIN(H$4,$F30)))*1+AND(WORKDAY(EOMONTH(H$4,0)+1,-3)&lt;&gt;WORKDAY(EOMONTH(H$3,0)+1,-3),WORKDAY(EOMONTH(H$4,0)+1,-3)&gt;=MAX(H$3,$E30),WORKDAY(EOMONTH(H$4,0)+1,-3)&lt;=IF($F30="",H$4,MIN(H$4,$F30)))*1),IF(AND(IF(EDATE($E30,MAX(0,ROUNDUP(((YEAR(H$3)-YEAR($E30))*12+MONTH(H$3)-MONTH($E30))/$G30,0)*$G30))&lt;H$3,EDATE($E30,MAX(0,ROUNDUP(((YEAR(H$3)-YEAR($E30))*12+MONTH(H$3)-MONTH($E30))/$G30,0)*$G30)+$G30),EDATE($E30,MAX(0,ROUNDUP(((YEAR(H$3)-YEAR($E30))*12+MONTH(H$3)-MONTH($E30))/$G30,0)*$G30)))&gt;=H$3,IF(EDATE($E30,MAX(0,ROUNDUP(((YEAR(H$3)-YEAR($E30))*12+MONTH(H$3)-MONTH($E30))/$G30,0)*$G30))&lt;H$3,EDATE($E30,MAX(0,ROUNDUP(((YEAR(H$3)-YEAR($E30))*12+MONTH(H$3)-MONTH($E30))/$G30,0)*$G30)+$G30),EDATE($E30,MAX(0,ROUNDUP(((YEAR(H$3)-YEAR($E30))*12+MONTH(H$3)-MONTH($E30))/$G30,0)*$G30)))&lt;=IF($F30="",H$4,MIN(H$4,$F30))),1,0)))))</f>
        <v>0</v>
      </c>
      <c r="I30" s="25" t="n">
        <f aca="false">IF(OR($C30="",$C30=0,$E30="",$B30="",$G30=-2),0,$C30*IF($G30=0,IF(IF($F30="",I$4,MIN(I$4,$F30))&lt;$E30,0,MAX(0,INT((IF($F30="",I$4,MIN(I$4,$F30))-$E30)/7)+1-MAX(0,ROUNDUP((I$3-$E30)/7,0)))),IF($G30=101,(AND(EOMONTH(I$3,0)&gt;=MAX(I$3,$E30),EOMONTH(I$3,0)&lt;=IF($F30="",I$4,MIN(I$4,$F30)))*1+AND(EOMONTH(I$4,0)&lt;&gt;EOMONTH(I$3,0),EOMONTH(I$4,0)&gt;=MAX(I$3,$E30),EOMONTH(I$4,0)&lt;=IF($F30="",I$4,MIN(I$4,$F30)))*1),IF($G30=102,(AND(WORKDAY(EOMONTH(I$3,0)+1,-3)&gt;=MAX(I$3,$E30),WORKDAY(EOMONTH(I$3,0)+1,-3)&lt;=IF($F30="",I$4,MIN(I$4,$F30)))*1+AND(WORKDAY(EOMONTH(I$4,0)+1,-3)&lt;&gt;WORKDAY(EOMONTH(I$3,0)+1,-3),WORKDAY(EOMONTH(I$4,0)+1,-3)&gt;=MAX(I$3,$E30),WORKDAY(EOMONTH(I$4,0)+1,-3)&lt;=IF($F30="",I$4,MIN(I$4,$F30)))*1),IF(AND(IF(EDATE($E30,MAX(0,ROUNDUP(((YEAR(I$3)-YEAR($E30))*12+MONTH(I$3)-MONTH($E30))/$G30,0)*$G30))&lt;I$3,EDATE($E30,MAX(0,ROUNDUP(((YEAR(I$3)-YEAR($E30))*12+MONTH(I$3)-MONTH($E30))/$G30,0)*$G30)+$G30),EDATE($E30,MAX(0,ROUNDUP(((YEAR(I$3)-YEAR($E30))*12+MONTH(I$3)-MONTH($E30))/$G30,0)*$G30)))&gt;=I$3,IF(EDATE($E30,MAX(0,ROUNDUP(((YEAR(I$3)-YEAR($E30))*12+MONTH(I$3)-MONTH($E30))/$G30,0)*$G30))&lt;I$3,EDATE($E30,MAX(0,ROUNDUP(((YEAR(I$3)-YEAR($E30))*12+MONTH(I$3)-MONTH($E30))/$G30,0)*$G30)+$G30),EDATE($E30,MAX(0,ROUNDUP(((YEAR(I$3)-YEAR($E30))*12+MONTH(I$3)-MONTH($E30))/$G30,0)*$G30)))&lt;=IF($F30="",I$4,MIN(I$4,$F30))),1,0)))))</f>
        <v>0</v>
      </c>
      <c r="J30" s="25" t="n">
        <f aca="false">IF(OR($C30="",$C30=0,$E30="",$B30="",$G30=-2),0,$C30*IF($G30=0,IF(IF($F30="",J$4,MIN(J$4,$F30))&lt;$E30,0,MAX(0,INT((IF($F30="",J$4,MIN(J$4,$F30))-$E30)/7)+1-MAX(0,ROUNDUP((J$3-$E30)/7,0)))),IF($G30=101,(AND(EOMONTH(J$3,0)&gt;=MAX(J$3,$E30),EOMONTH(J$3,0)&lt;=IF($F30="",J$4,MIN(J$4,$F30)))*1+AND(EOMONTH(J$4,0)&lt;&gt;EOMONTH(J$3,0),EOMONTH(J$4,0)&gt;=MAX(J$3,$E30),EOMONTH(J$4,0)&lt;=IF($F30="",J$4,MIN(J$4,$F30)))*1),IF($G30=102,(AND(WORKDAY(EOMONTH(J$3,0)+1,-3)&gt;=MAX(J$3,$E30),WORKDAY(EOMONTH(J$3,0)+1,-3)&lt;=IF($F30="",J$4,MIN(J$4,$F30)))*1+AND(WORKDAY(EOMONTH(J$4,0)+1,-3)&lt;&gt;WORKDAY(EOMONTH(J$3,0)+1,-3),WORKDAY(EOMONTH(J$4,0)+1,-3)&gt;=MAX(J$3,$E30),WORKDAY(EOMONTH(J$4,0)+1,-3)&lt;=IF($F30="",J$4,MIN(J$4,$F30)))*1),IF(AND(IF(EDATE($E30,MAX(0,ROUNDUP(((YEAR(J$3)-YEAR($E30))*12+MONTH(J$3)-MONTH($E30))/$G30,0)*$G30))&lt;J$3,EDATE($E30,MAX(0,ROUNDUP(((YEAR(J$3)-YEAR($E30))*12+MONTH(J$3)-MONTH($E30))/$G30,0)*$G30)+$G30),EDATE($E30,MAX(0,ROUNDUP(((YEAR(J$3)-YEAR($E30))*12+MONTH(J$3)-MONTH($E30))/$G30,0)*$G30)))&gt;=J$3,IF(EDATE($E30,MAX(0,ROUNDUP(((YEAR(J$3)-YEAR($E30))*12+MONTH(J$3)-MONTH($E30))/$G30,0)*$G30))&lt;J$3,EDATE($E30,MAX(0,ROUNDUP(((YEAR(J$3)-YEAR($E30))*12+MONTH(J$3)-MONTH($E30))/$G30,0)*$G30)+$G30),EDATE($E30,MAX(0,ROUNDUP(((YEAR(J$3)-YEAR($E30))*12+MONTH(J$3)-MONTH($E30))/$G30,0)*$G30)))&lt;=IF($F30="",J$4,MIN(J$4,$F30))),1,0)))))</f>
        <v>0</v>
      </c>
      <c r="K30" s="25" t="n">
        <f aca="false">IF(OR($C30="",$C30=0,$E30="",$B30="",$G30=-2),0,$C30*IF($G30=0,IF(IF($F30="",K$4,MIN(K$4,$F30))&lt;$E30,0,MAX(0,INT((IF($F30="",K$4,MIN(K$4,$F30))-$E30)/7)+1-MAX(0,ROUNDUP((K$3-$E30)/7,0)))),IF($G30=101,(AND(EOMONTH(K$3,0)&gt;=MAX(K$3,$E30),EOMONTH(K$3,0)&lt;=IF($F30="",K$4,MIN(K$4,$F30)))*1+AND(EOMONTH(K$4,0)&lt;&gt;EOMONTH(K$3,0),EOMONTH(K$4,0)&gt;=MAX(K$3,$E30),EOMONTH(K$4,0)&lt;=IF($F30="",K$4,MIN(K$4,$F30)))*1),IF($G30=102,(AND(WORKDAY(EOMONTH(K$3,0)+1,-3)&gt;=MAX(K$3,$E30),WORKDAY(EOMONTH(K$3,0)+1,-3)&lt;=IF($F30="",K$4,MIN(K$4,$F30)))*1+AND(WORKDAY(EOMONTH(K$4,0)+1,-3)&lt;&gt;WORKDAY(EOMONTH(K$3,0)+1,-3),WORKDAY(EOMONTH(K$4,0)+1,-3)&gt;=MAX(K$3,$E30),WORKDAY(EOMONTH(K$4,0)+1,-3)&lt;=IF($F30="",K$4,MIN(K$4,$F30)))*1),IF(AND(IF(EDATE($E30,MAX(0,ROUNDUP(((YEAR(K$3)-YEAR($E30))*12+MONTH(K$3)-MONTH($E30))/$G30,0)*$G30))&lt;K$3,EDATE($E30,MAX(0,ROUNDUP(((YEAR(K$3)-YEAR($E30))*12+MONTH(K$3)-MONTH($E30))/$G30,0)*$G30)+$G30),EDATE($E30,MAX(0,ROUNDUP(((YEAR(K$3)-YEAR($E30))*12+MONTH(K$3)-MONTH($E30))/$G30,0)*$G30)))&gt;=K$3,IF(EDATE($E30,MAX(0,ROUNDUP(((YEAR(K$3)-YEAR($E30))*12+MONTH(K$3)-MONTH($E30))/$G30,0)*$G30))&lt;K$3,EDATE($E30,MAX(0,ROUNDUP(((YEAR(K$3)-YEAR($E30))*12+MONTH(K$3)-MONTH($E30))/$G30,0)*$G30)+$G30),EDATE($E30,MAX(0,ROUNDUP(((YEAR(K$3)-YEAR($E30))*12+MONTH(K$3)-MONTH($E30))/$G30,0)*$G30)))&lt;=IF($F30="",K$4,MIN(K$4,$F30))),1,0)))))</f>
        <v>0</v>
      </c>
      <c r="L30" s="25" t="n">
        <f aca="false">IF(OR($C30="",$C30=0,$E30="",$B30="",$G30=-2),0,$C30*IF($G30=0,IF(IF($F30="",L$4,MIN(L$4,$F30))&lt;$E30,0,MAX(0,INT((IF($F30="",L$4,MIN(L$4,$F30))-$E30)/7)+1-MAX(0,ROUNDUP((L$3-$E30)/7,0)))),IF($G30=101,(AND(EOMONTH(L$3,0)&gt;=MAX(L$3,$E30),EOMONTH(L$3,0)&lt;=IF($F30="",L$4,MIN(L$4,$F30)))*1+AND(EOMONTH(L$4,0)&lt;&gt;EOMONTH(L$3,0),EOMONTH(L$4,0)&gt;=MAX(L$3,$E30),EOMONTH(L$4,0)&lt;=IF($F30="",L$4,MIN(L$4,$F30)))*1),IF($G30=102,(AND(WORKDAY(EOMONTH(L$3,0)+1,-3)&gt;=MAX(L$3,$E30),WORKDAY(EOMONTH(L$3,0)+1,-3)&lt;=IF($F30="",L$4,MIN(L$4,$F30)))*1+AND(WORKDAY(EOMONTH(L$4,0)+1,-3)&lt;&gt;WORKDAY(EOMONTH(L$3,0)+1,-3),WORKDAY(EOMONTH(L$4,0)+1,-3)&gt;=MAX(L$3,$E30),WORKDAY(EOMONTH(L$4,0)+1,-3)&lt;=IF($F30="",L$4,MIN(L$4,$F30)))*1),IF(AND(IF(EDATE($E30,MAX(0,ROUNDUP(((YEAR(L$3)-YEAR($E30))*12+MONTH(L$3)-MONTH($E30))/$G30,0)*$G30))&lt;L$3,EDATE($E30,MAX(0,ROUNDUP(((YEAR(L$3)-YEAR($E30))*12+MONTH(L$3)-MONTH($E30))/$G30,0)*$G30)+$G30),EDATE($E30,MAX(0,ROUNDUP(((YEAR(L$3)-YEAR($E30))*12+MONTH(L$3)-MONTH($E30))/$G30,0)*$G30)))&gt;=L$3,IF(EDATE($E30,MAX(0,ROUNDUP(((YEAR(L$3)-YEAR($E30))*12+MONTH(L$3)-MONTH($E30))/$G30,0)*$G30))&lt;L$3,EDATE($E30,MAX(0,ROUNDUP(((YEAR(L$3)-YEAR($E30))*12+MONTH(L$3)-MONTH($E30))/$G30,0)*$G30)+$G30),EDATE($E30,MAX(0,ROUNDUP(((YEAR(L$3)-YEAR($E30))*12+MONTH(L$3)-MONTH($E30))/$G30,0)*$G30)))&lt;=IF($F30="",L$4,MIN(L$4,$F30))),1,0)))))</f>
        <v>0</v>
      </c>
      <c r="M30" s="25" t="n">
        <f aca="false">IF(OR($C30="",$C30=0,$E30="",$B30="",$G30=-2),0,$C30*IF($G30=0,IF(IF($F30="",M$4,MIN(M$4,$F30))&lt;$E30,0,MAX(0,INT((IF($F30="",M$4,MIN(M$4,$F30))-$E30)/7)+1-MAX(0,ROUNDUP((M$3-$E30)/7,0)))),IF($G30=101,(AND(EOMONTH(M$3,0)&gt;=MAX(M$3,$E30),EOMONTH(M$3,0)&lt;=IF($F30="",M$4,MIN(M$4,$F30)))*1+AND(EOMONTH(M$4,0)&lt;&gt;EOMONTH(M$3,0),EOMONTH(M$4,0)&gt;=MAX(M$3,$E30),EOMONTH(M$4,0)&lt;=IF($F30="",M$4,MIN(M$4,$F30)))*1),IF($G30=102,(AND(WORKDAY(EOMONTH(M$3,0)+1,-3)&gt;=MAX(M$3,$E30),WORKDAY(EOMONTH(M$3,0)+1,-3)&lt;=IF($F30="",M$4,MIN(M$4,$F30)))*1+AND(WORKDAY(EOMONTH(M$4,0)+1,-3)&lt;&gt;WORKDAY(EOMONTH(M$3,0)+1,-3),WORKDAY(EOMONTH(M$4,0)+1,-3)&gt;=MAX(M$3,$E30),WORKDAY(EOMONTH(M$4,0)+1,-3)&lt;=IF($F30="",M$4,MIN(M$4,$F30)))*1),IF(AND(IF(EDATE($E30,MAX(0,ROUNDUP(((YEAR(M$3)-YEAR($E30))*12+MONTH(M$3)-MONTH($E30))/$G30,0)*$G30))&lt;M$3,EDATE($E30,MAX(0,ROUNDUP(((YEAR(M$3)-YEAR($E30))*12+MONTH(M$3)-MONTH($E30))/$G30,0)*$G30)+$G30),EDATE($E30,MAX(0,ROUNDUP(((YEAR(M$3)-YEAR($E30))*12+MONTH(M$3)-MONTH($E30))/$G30,0)*$G30)))&gt;=M$3,IF(EDATE($E30,MAX(0,ROUNDUP(((YEAR(M$3)-YEAR($E30))*12+MONTH(M$3)-MONTH($E30))/$G30,0)*$G30))&lt;M$3,EDATE($E30,MAX(0,ROUNDUP(((YEAR(M$3)-YEAR($E30))*12+MONTH(M$3)-MONTH($E30))/$G30,0)*$G30)+$G30),EDATE($E30,MAX(0,ROUNDUP(((YEAR(M$3)-YEAR($E30))*12+MONTH(M$3)-MONTH($E30))/$G30,0)*$G30)))&lt;=IF($F30="",M$4,MIN(M$4,$F30))),1,0)))))</f>
        <v>0</v>
      </c>
      <c r="N30" s="25" t="n">
        <f aca="false">IF(OR($C30="",$C30=0,$E30="",$B30="",$G30=-2),0,$C30*IF($G30=0,IF(IF($F30="",N$4,MIN(N$4,$F30))&lt;$E30,0,MAX(0,INT((IF($F30="",N$4,MIN(N$4,$F30))-$E30)/7)+1-MAX(0,ROUNDUP((N$3-$E30)/7,0)))),IF($G30=101,(AND(EOMONTH(N$3,0)&gt;=MAX(N$3,$E30),EOMONTH(N$3,0)&lt;=IF($F30="",N$4,MIN(N$4,$F30)))*1+AND(EOMONTH(N$4,0)&lt;&gt;EOMONTH(N$3,0),EOMONTH(N$4,0)&gt;=MAX(N$3,$E30),EOMONTH(N$4,0)&lt;=IF($F30="",N$4,MIN(N$4,$F30)))*1),IF($G30=102,(AND(WORKDAY(EOMONTH(N$3,0)+1,-3)&gt;=MAX(N$3,$E30),WORKDAY(EOMONTH(N$3,0)+1,-3)&lt;=IF($F30="",N$4,MIN(N$4,$F30)))*1+AND(WORKDAY(EOMONTH(N$4,0)+1,-3)&lt;&gt;WORKDAY(EOMONTH(N$3,0)+1,-3),WORKDAY(EOMONTH(N$4,0)+1,-3)&gt;=MAX(N$3,$E30),WORKDAY(EOMONTH(N$4,0)+1,-3)&lt;=IF($F30="",N$4,MIN(N$4,$F30)))*1),IF(AND(IF(EDATE($E30,MAX(0,ROUNDUP(((YEAR(N$3)-YEAR($E30))*12+MONTH(N$3)-MONTH($E30))/$G30,0)*$G30))&lt;N$3,EDATE($E30,MAX(0,ROUNDUP(((YEAR(N$3)-YEAR($E30))*12+MONTH(N$3)-MONTH($E30))/$G30,0)*$G30)+$G30),EDATE($E30,MAX(0,ROUNDUP(((YEAR(N$3)-YEAR($E30))*12+MONTH(N$3)-MONTH($E30))/$G30,0)*$G30)))&gt;=N$3,IF(EDATE($E30,MAX(0,ROUNDUP(((YEAR(N$3)-YEAR($E30))*12+MONTH(N$3)-MONTH($E30))/$G30,0)*$G30))&lt;N$3,EDATE($E30,MAX(0,ROUNDUP(((YEAR(N$3)-YEAR($E30))*12+MONTH(N$3)-MONTH($E30))/$G30,0)*$G30)+$G30),EDATE($E30,MAX(0,ROUNDUP(((YEAR(N$3)-YEAR($E30))*12+MONTH(N$3)-MONTH($E30))/$G30,0)*$G30)))&lt;=IF($F30="",N$4,MIN(N$4,$F30))),1,0)))))</f>
        <v>0</v>
      </c>
      <c r="O30" s="25" t="n">
        <f aca="false">IF(OR($C30="",$C30=0,$E30="",$B30="",$G30=-2),0,$C30*IF($G30=0,IF(IF($F30="",O$4,MIN(O$4,$F30))&lt;$E30,0,MAX(0,INT((IF($F30="",O$4,MIN(O$4,$F30))-$E30)/7)+1-MAX(0,ROUNDUP((O$3-$E30)/7,0)))),IF($G30=101,(AND(EOMONTH(O$3,0)&gt;=MAX(O$3,$E30),EOMONTH(O$3,0)&lt;=IF($F30="",O$4,MIN(O$4,$F30)))*1+AND(EOMONTH(O$4,0)&lt;&gt;EOMONTH(O$3,0),EOMONTH(O$4,0)&gt;=MAX(O$3,$E30),EOMONTH(O$4,0)&lt;=IF($F30="",O$4,MIN(O$4,$F30)))*1),IF($G30=102,(AND(WORKDAY(EOMONTH(O$3,0)+1,-3)&gt;=MAX(O$3,$E30),WORKDAY(EOMONTH(O$3,0)+1,-3)&lt;=IF($F30="",O$4,MIN(O$4,$F30)))*1+AND(WORKDAY(EOMONTH(O$4,0)+1,-3)&lt;&gt;WORKDAY(EOMONTH(O$3,0)+1,-3),WORKDAY(EOMONTH(O$4,0)+1,-3)&gt;=MAX(O$3,$E30),WORKDAY(EOMONTH(O$4,0)+1,-3)&lt;=IF($F30="",O$4,MIN(O$4,$F30)))*1),IF(AND(IF(EDATE($E30,MAX(0,ROUNDUP(((YEAR(O$3)-YEAR($E30))*12+MONTH(O$3)-MONTH($E30))/$G30,0)*$G30))&lt;O$3,EDATE($E30,MAX(0,ROUNDUP(((YEAR(O$3)-YEAR($E30))*12+MONTH(O$3)-MONTH($E30))/$G30,0)*$G30)+$G30),EDATE($E30,MAX(0,ROUNDUP(((YEAR(O$3)-YEAR($E30))*12+MONTH(O$3)-MONTH($E30))/$G30,0)*$G30)))&gt;=O$3,IF(EDATE($E30,MAX(0,ROUNDUP(((YEAR(O$3)-YEAR($E30))*12+MONTH(O$3)-MONTH($E30))/$G30,0)*$G30))&lt;O$3,EDATE($E30,MAX(0,ROUNDUP(((YEAR(O$3)-YEAR($E30))*12+MONTH(O$3)-MONTH($E30))/$G30,0)*$G30)+$G30),EDATE($E30,MAX(0,ROUNDUP(((YEAR(O$3)-YEAR($E30))*12+MONTH(O$3)-MONTH($E30))/$G30,0)*$G30)))&lt;=IF($F30="",O$4,MIN(O$4,$F30))),1,0)))))</f>
        <v>0</v>
      </c>
      <c r="P30" s="25" t="n">
        <f aca="false">IF(OR($C30="",$C30=0,$E30="",$B30="",$G30=-2),0,$C30*IF($G30=0,IF(IF($F30="",P$4,MIN(P$4,$F30))&lt;$E30,0,MAX(0,INT((IF($F30="",P$4,MIN(P$4,$F30))-$E30)/7)+1-MAX(0,ROUNDUP((P$3-$E30)/7,0)))),IF($G30=101,(AND(EOMONTH(P$3,0)&gt;=MAX(P$3,$E30),EOMONTH(P$3,0)&lt;=IF($F30="",P$4,MIN(P$4,$F30)))*1+AND(EOMONTH(P$4,0)&lt;&gt;EOMONTH(P$3,0),EOMONTH(P$4,0)&gt;=MAX(P$3,$E30),EOMONTH(P$4,0)&lt;=IF($F30="",P$4,MIN(P$4,$F30)))*1),IF($G30=102,(AND(WORKDAY(EOMONTH(P$3,0)+1,-3)&gt;=MAX(P$3,$E30),WORKDAY(EOMONTH(P$3,0)+1,-3)&lt;=IF($F30="",P$4,MIN(P$4,$F30)))*1+AND(WORKDAY(EOMONTH(P$4,0)+1,-3)&lt;&gt;WORKDAY(EOMONTH(P$3,0)+1,-3),WORKDAY(EOMONTH(P$4,0)+1,-3)&gt;=MAX(P$3,$E30),WORKDAY(EOMONTH(P$4,0)+1,-3)&lt;=IF($F30="",P$4,MIN(P$4,$F30)))*1),IF(AND(IF(EDATE($E30,MAX(0,ROUNDUP(((YEAR(P$3)-YEAR($E30))*12+MONTH(P$3)-MONTH($E30))/$G30,0)*$G30))&lt;P$3,EDATE($E30,MAX(0,ROUNDUP(((YEAR(P$3)-YEAR($E30))*12+MONTH(P$3)-MONTH($E30))/$G30,0)*$G30)+$G30),EDATE($E30,MAX(0,ROUNDUP(((YEAR(P$3)-YEAR($E30))*12+MONTH(P$3)-MONTH($E30))/$G30,0)*$G30)))&gt;=P$3,IF(EDATE($E30,MAX(0,ROUNDUP(((YEAR(P$3)-YEAR($E30))*12+MONTH(P$3)-MONTH($E30))/$G30,0)*$G30))&lt;P$3,EDATE($E30,MAX(0,ROUNDUP(((YEAR(P$3)-YEAR($E30))*12+MONTH(P$3)-MONTH($E30))/$G30,0)*$G30)+$G30),EDATE($E30,MAX(0,ROUNDUP(((YEAR(P$3)-YEAR($E30))*12+MONTH(P$3)-MONTH($E30))/$G30,0)*$G30)))&lt;=IF($F30="",P$4,MIN(P$4,$F30))),1,0)))))</f>
        <v>0</v>
      </c>
      <c r="Q30" s="25" t="n">
        <f aca="false">IF(OR($C30="",$C30=0,$E30="",$B30="",$G30=-2),0,$C30*IF($G30=0,IF(IF($F30="",Q$4,MIN(Q$4,$F30))&lt;$E30,0,MAX(0,INT((IF($F30="",Q$4,MIN(Q$4,$F30))-$E30)/7)+1-MAX(0,ROUNDUP((Q$3-$E30)/7,0)))),IF($G30=101,(AND(EOMONTH(Q$3,0)&gt;=MAX(Q$3,$E30),EOMONTH(Q$3,0)&lt;=IF($F30="",Q$4,MIN(Q$4,$F30)))*1+AND(EOMONTH(Q$4,0)&lt;&gt;EOMONTH(Q$3,0),EOMONTH(Q$4,0)&gt;=MAX(Q$3,$E30),EOMONTH(Q$4,0)&lt;=IF($F30="",Q$4,MIN(Q$4,$F30)))*1),IF($G30=102,(AND(WORKDAY(EOMONTH(Q$3,0)+1,-3)&gt;=MAX(Q$3,$E30),WORKDAY(EOMONTH(Q$3,0)+1,-3)&lt;=IF($F30="",Q$4,MIN(Q$4,$F30)))*1+AND(WORKDAY(EOMONTH(Q$4,0)+1,-3)&lt;&gt;WORKDAY(EOMONTH(Q$3,0)+1,-3),WORKDAY(EOMONTH(Q$4,0)+1,-3)&gt;=MAX(Q$3,$E30),WORKDAY(EOMONTH(Q$4,0)+1,-3)&lt;=IF($F30="",Q$4,MIN(Q$4,$F30)))*1),IF(AND(IF(EDATE($E30,MAX(0,ROUNDUP(((YEAR(Q$3)-YEAR($E30))*12+MONTH(Q$3)-MONTH($E30))/$G30,0)*$G30))&lt;Q$3,EDATE($E30,MAX(0,ROUNDUP(((YEAR(Q$3)-YEAR($E30))*12+MONTH(Q$3)-MONTH($E30))/$G30,0)*$G30)+$G30),EDATE($E30,MAX(0,ROUNDUP(((YEAR(Q$3)-YEAR($E30))*12+MONTH(Q$3)-MONTH($E30))/$G30,0)*$G30)))&gt;=Q$3,IF(EDATE($E30,MAX(0,ROUNDUP(((YEAR(Q$3)-YEAR($E30))*12+MONTH(Q$3)-MONTH($E30))/$G30,0)*$G30))&lt;Q$3,EDATE($E30,MAX(0,ROUNDUP(((YEAR(Q$3)-YEAR($E30))*12+MONTH(Q$3)-MONTH($E30))/$G30,0)*$G30)+$G30),EDATE($E30,MAX(0,ROUNDUP(((YEAR(Q$3)-YEAR($E30))*12+MONTH(Q$3)-MONTH($E30))/$G30,0)*$G30)))&lt;=IF($F30="",Q$4,MIN(Q$4,$F30))),1,0)))))</f>
        <v>0</v>
      </c>
      <c r="R30" s="25" t="n">
        <f aca="false">IF(OR($C30="",$C30=0,$E30="",$B30="",$G30=-2),0,$C30*IF($G30=0,IF(IF($F30="",R$4,MIN(R$4,$F30))&lt;$E30,0,MAX(0,INT((IF($F30="",R$4,MIN(R$4,$F30))-$E30)/7)+1-MAX(0,ROUNDUP((R$3-$E30)/7,0)))),IF($G30=101,(AND(EOMONTH(R$3,0)&gt;=MAX(R$3,$E30),EOMONTH(R$3,0)&lt;=IF($F30="",R$4,MIN(R$4,$F30)))*1+AND(EOMONTH(R$4,0)&lt;&gt;EOMONTH(R$3,0),EOMONTH(R$4,0)&gt;=MAX(R$3,$E30),EOMONTH(R$4,0)&lt;=IF($F30="",R$4,MIN(R$4,$F30)))*1),IF($G30=102,(AND(WORKDAY(EOMONTH(R$3,0)+1,-3)&gt;=MAX(R$3,$E30),WORKDAY(EOMONTH(R$3,0)+1,-3)&lt;=IF($F30="",R$4,MIN(R$4,$F30)))*1+AND(WORKDAY(EOMONTH(R$4,0)+1,-3)&lt;&gt;WORKDAY(EOMONTH(R$3,0)+1,-3),WORKDAY(EOMONTH(R$4,0)+1,-3)&gt;=MAX(R$3,$E30),WORKDAY(EOMONTH(R$4,0)+1,-3)&lt;=IF($F30="",R$4,MIN(R$4,$F30)))*1),IF(AND(IF(EDATE($E30,MAX(0,ROUNDUP(((YEAR(R$3)-YEAR($E30))*12+MONTH(R$3)-MONTH($E30))/$G30,0)*$G30))&lt;R$3,EDATE($E30,MAX(0,ROUNDUP(((YEAR(R$3)-YEAR($E30))*12+MONTH(R$3)-MONTH($E30))/$G30,0)*$G30)+$G30),EDATE($E30,MAX(0,ROUNDUP(((YEAR(R$3)-YEAR($E30))*12+MONTH(R$3)-MONTH($E30))/$G30,0)*$G30)))&gt;=R$3,IF(EDATE($E30,MAX(0,ROUNDUP(((YEAR(R$3)-YEAR($E30))*12+MONTH(R$3)-MONTH($E30))/$G30,0)*$G30))&lt;R$3,EDATE($E30,MAX(0,ROUNDUP(((YEAR(R$3)-YEAR($E30))*12+MONTH(R$3)-MONTH($E30))/$G30,0)*$G30)+$G30),EDATE($E30,MAX(0,ROUNDUP(((YEAR(R$3)-YEAR($E30))*12+MONTH(R$3)-MONTH($E30))/$G30,0)*$G30)))&lt;=IF($F30="",R$4,MIN(R$4,$F30))),1,0)))))</f>
        <v>0</v>
      </c>
      <c r="S30" s="25" t="n">
        <f aca="false">IF(OR($C30="",$C30=0,$E30="",$B30="",$G30=-2),0,$C30*IF($G30=0,IF(IF($F30="",S$4,MIN(S$4,$F30))&lt;$E30,0,MAX(0,INT((IF($F30="",S$4,MIN(S$4,$F30))-$E30)/7)+1-MAX(0,ROUNDUP((S$3-$E30)/7,0)))),IF($G30=101,(AND(EOMONTH(S$3,0)&gt;=MAX(S$3,$E30),EOMONTH(S$3,0)&lt;=IF($F30="",S$4,MIN(S$4,$F30)))*1+AND(EOMONTH(S$4,0)&lt;&gt;EOMONTH(S$3,0),EOMONTH(S$4,0)&gt;=MAX(S$3,$E30),EOMONTH(S$4,0)&lt;=IF($F30="",S$4,MIN(S$4,$F30)))*1),IF($G30=102,(AND(WORKDAY(EOMONTH(S$3,0)+1,-3)&gt;=MAX(S$3,$E30),WORKDAY(EOMONTH(S$3,0)+1,-3)&lt;=IF($F30="",S$4,MIN(S$4,$F30)))*1+AND(WORKDAY(EOMONTH(S$4,0)+1,-3)&lt;&gt;WORKDAY(EOMONTH(S$3,0)+1,-3),WORKDAY(EOMONTH(S$4,0)+1,-3)&gt;=MAX(S$3,$E30),WORKDAY(EOMONTH(S$4,0)+1,-3)&lt;=IF($F30="",S$4,MIN(S$4,$F30)))*1),IF(AND(IF(EDATE($E30,MAX(0,ROUNDUP(((YEAR(S$3)-YEAR($E30))*12+MONTH(S$3)-MONTH($E30))/$G30,0)*$G30))&lt;S$3,EDATE($E30,MAX(0,ROUNDUP(((YEAR(S$3)-YEAR($E30))*12+MONTH(S$3)-MONTH($E30))/$G30,0)*$G30)+$G30),EDATE($E30,MAX(0,ROUNDUP(((YEAR(S$3)-YEAR($E30))*12+MONTH(S$3)-MONTH($E30))/$G30,0)*$G30)))&gt;=S$3,IF(EDATE($E30,MAX(0,ROUNDUP(((YEAR(S$3)-YEAR($E30))*12+MONTH(S$3)-MONTH($E30))/$G30,0)*$G30))&lt;S$3,EDATE($E30,MAX(0,ROUNDUP(((YEAR(S$3)-YEAR($E30))*12+MONTH(S$3)-MONTH($E30))/$G30,0)*$G30)+$G30),EDATE($E30,MAX(0,ROUNDUP(((YEAR(S$3)-YEAR($E30))*12+MONTH(S$3)-MONTH($E30))/$G30,0)*$G30)))&lt;=IF($F30="",S$4,MIN(S$4,$F30))),1,0)))))</f>
        <v>0</v>
      </c>
      <c r="T30" s="25" t="n">
        <f aca="false">IF(OR($C30="",$C30=0,$E30="",$B30="",$G30=-2),0,$C30*IF($G30=0,IF(IF($F30="",T$4,MIN(T$4,$F30))&lt;$E30,0,MAX(0,INT((IF($F30="",T$4,MIN(T$4,$F30))-$E30)/7)+1-MAX(0,ROUNDUP((T$3-$E30)/7,0)))),IF($G30=101,(AND(EOMONTH(T$3,0)&gt;=MAX(T$3,$E30),EOMONTH(T$3,0)&lt;=IF($F30="",T$4,MIN(T$4,$F30)))*1+AND(EOMONTH(T$4,0)&lt;&gt;EOMONTH(T$3,0),EOMONTH(T$4,0)&gt;=MAX(T$3,$E30),EOMONTH(T$4,0)&lt;=IF($F30="",T$4,MIN(T$4,$F30)))*1),IF($G30=102,(AND(WORKDAY(EOMONTH(T$3,0)+1,-3)&gt;=MAX(T$3,$E30),WORKDAY(EOMONTH(T$3,0)+1,-3)&lt;=IF($F30="",T$4,MIN(T$4,$F30)))*1+AND(WORKDAY(EOMONTH(T$4,0)+1,-3)&lt;&gt;WORKDAY(EOMONTH(T$3,0)+1,-3),WORKDAY(EOMONTH(T$4,0)+1,-3)&gt;=MAX(T$3,$E30),WORKDAY(EOMONTH(T$4,0)+1,-3)&lt;=IF($F30="",T$4,MIN(T$4,$F30)))*1),IF(AND(IF(EDATE($E30,MAX(0,ROUNDUP(((YEAR(T$3)-YEAR($E30))*12+MONTH(T$3)-MONTH($E30))/$G30,0)*$G30))&lt;T$3,EDATE($E30,MAX(0,ROUNDUP(((YEAR(T$3)-YEAR($E30))*12+MONTH(T$3)-MONTH($E30))/$G30,0)*$G30)+$G30),EDATE($E30,MAX(0,ROUNDUP(((YEAR(T$3)-YEAR($E30))*12+MONTH(T$3)-MONTH($E30))/$G30,0)*$G30)))&gt;=T$3,IF(EDATE($E30,MAX(0,ROUNDUP(((YEAR(T$3)-YEAR($E30))*12+MONTH(T$3)-MONTH($E30))/$G30,0)*$G30))&lt;T$3,EDATE($E30,MAX(0,ROUNDUP(((YEAR(T$3)-YEAR($E30))*12+MONTH(T$3)-MONTH($E30))/$G30,0)*$G30)+$G30),EDATE($E30,MAX(0,ROUNDUP(((YEAR(T$3)-YEAR($E30))*12+MONTH(T$3)-MONTH($E30))/$G30,0)*$G30)))&lt;=IF($F30="",T$4,MIN(T$4,$F30))),1,0)))))</f>
        <v>0</v>
      </c>
      <c r="U30" s="25" t="n">
        <f aca="false">IF(OR($C30="",$C30=0,$E30="",$B30="",$G30=-2),0,$C30*IF($G30=0,IF(IF($F30="",U$4,MIN(U$4,$F30))&lt;$E30,0,MAX(0,INT((IF($F30="",U$4,MIN(U$4,$F30))-$E30)/7)+1-MAX(0,ROUNDUP((U$3-$E30)/7,0)))),IF($G30=101,(AND(EOMONTH(U$3,0)&gt;=MAX(U$3,$E30),EOMONTH(U$3,0)&lt;=IF($F30="",U$4,MIN(U$4,$F30)))*1+AND(EOMONTH(U$4,0)&lt;&gt;EOMONTH(U$3,0),EOMONTH(U$4,0)&gt;=MAX(U$3,$E30),EOMONTH(U$4,0)&lt;=IF($F30="",U$4,MIN(U$4,$F30)))*1),IF($G30=102,(AND(WORKDAY(EOMONTH(U$3,0)+1,-3)&gt;=MAX(U$3,$E30),WORKDAY(EOMONTH(U$3,0)+1,-3)&lt;=IF($F30="",U$4,MIN(U$4,$F30)))*1+AND(WORKDAY(EOMONTH(U$4,0)+1,-3)&lt;&gt;WORKDAY(EOMONTH(U$3,0)+1,-3),WORKDAY(EOMONTH(U$4,0)+1,-3)&gt;=MAX(U$3,$E30),WORKDAY(EOMONTH(U$4,0)+1,-3)&lt;=IF($F30="",U$4,MIN(U$4,$F30)))*1),IF(AND(IF(EDATE($E30,MAX(0,ROUNDUP(((YEAR(U$3)-YEAR($E30))*12+MONTH(U$3)-MONTH($E30))/$G30,0)*$G30))&lt;U$3,EDATE($E30,MAX(0,ROUNDUP(((YEAR(U$3)-YEAR($E30))*12+MONTH(U$3)-MONTH($E30))/$G30,0)*$G30)+$G30),EDATE($E30,MAX(0,ROUNDUP(((YEAR(U$3)-YEAR($E30))*12+MONTH(U$3)-MONTH($E30))/$G30,0)*$G30)))&gt;=U$3,IF(EDATE($E30,MAX(0,ROUNDUP(((YEAR(U$3)-YEAR($E30))*12+MONTH(U$3)-MONTH($E30))/$G30,0)*$G30))&lt;U$3,EDATE($E30,MAX(0,ROUNDUP(((YEAR(U$3)-YEAR($E30))*12+MONTH(U$3)-MONTH($E30))/$G30,0)*$G30)+$G30),EDATE($E30,MAX(0,ROUNDUP(((YEAR(U$3)-YEAR($E30))*12+MONTH(U$3)-MONTH($E30))/$G30,0)*$G30)))&lt;=IF($F30="",U$4,MIN(U$4,$F30))),1,0)))))</f>
        <v>0</v>
      </c>
      <c r="V30" s="25" t="n">
        <f aca="false">IF(OR($C30="",$C30=0,$E30="",$B30="",$G30=-2),0,$C30*IF($G30=0,IF(IF($F30="",V$4,MIN(V$4,$F30))&lt;$E30,0,MAX(0,INT((IF($F30="",V$4,MIN(V$4,$F30))-$E30)/7)+1-MAX(0,ROUNDUP((V$3-$E30)/7,0)))),IF($G30=101,(AND(EOMONTH(V$3,0)&gt;=MAX(V$3,$E30),EOMONTH(V$3,0)&lt;=IF($F30="",V$4,MIN(V$4,$F30)))*1+AND(EOMONTH(V$4,0)&lt;&gt;EOMONTH(V$3,0),EOMONTH(V$4,0)&gt;=MAX(V$3,$E30),EOMONTH(V$4,0)&lt;=IF($F30="",V$4,MIN(V$4,$F30)))*1),IF($G30=102,(AND(WORKDAY(EOMONTH(V$3,0)+1,-3)&gt;=MAX(V$3,$E30),WORKDAY(EOMONTH(V$3,0)+1,-3)&lt;=IF($F30="",V$4,MIN(V$4,$F30)))*1+AND(WORKDAY(EOMONTH(V$4,0)+1,-3)&lt;&gt;WORKDAY(EOMONTH(V$3,0)+1,-3),WORKDAY(EOMONTH(V$4,0)+1,-3)&gt;=MAX(V$3,$E30),WORKDAY(EOMONTH(V$4,0)+1,-3)&lt;=IF($F30="",V$4,MIN(V$4,$F30)))*1),IF(AND(IF(EDATE($E30,MAX(0,ROUNDUP(((YEAR(V$3)-YEAR($E30))*12+MONTH(V$3)-MONTH($E30))/$G30,0)*$G30))&lt;V$3,EDATE($E30,MAX(0,ROUNDUP(((YEAR(V$3)-YEAR($E30))*12+MONTH(V$3)-MONTH($E30))/$G30,0)*$G30)+$G30),EDATE($E30,MAX(0,ROUNDUP(((YEAR(V$3)-YEAR($E30))*12+MONTH(V$3)-MONTH($E30))/$G30,0)*$G30)))&gt;=V$3,IF(EDATE($E30,MAX(0,ROUNDUP(((YEAR(V$3)-YEAR($E30))*12+MONTH(V$3)-MONTH($E30))/$G30,0)*$G30))&lt;V$3,EDATE($E30,MAX(0,ROUNDUP(((YEAR(V$3)-YEAR($E30))*12+MONTH(V$3)-MONTH($E30))/$G30,0)*$G30)+$G30),EDATE($E30,MAX(0,ROUNDUP(((YEAR(V$3)-YEAR($E30))*12+MONTH(V$3)-MONTH($E30))/$G30,0)*$G30)))&lt;=IF($F30="",V$4,MIN(V$4,$F30))),1,0)))))</f>
        <v>0</v>
      </c>
      <c r="W30" s="25" t="n">
        <f aca="false">IF(OR($C30="",$C30=0,$E30="",$B30="",$G30=-2),0,$C30*IF($G30=0,IF(IF($F30="",W$4,MIN(W$4,$F30))&lt;$E30,0,MAX(0,INT((IF($F30="",W$4,MIN(W$4,$F30))-$E30)/7)+1-MAX(0,ROUNDUP((W$3-$E30)/7,0)))),IF($G30=101,(AND(EOMONTH(W$3,0)&gt;=MAX(W$3,$E30),EOMONTH(W$3,0)&lt;=IF($F30="",W$4,MIN(W$4,$F30)))*1+AND(EOMONTH(W$4,0)&lt;&gt;EOMONTH(W$3,0),EOMONTH(W$4,0)&gt;=MAX(W$3,$E30),EOMONTH(W$4,0)&lt;=IF($F30="",W$4,MIN(W$4,$F30)))*1),IF($G30=102,(AND(WORKDAY(EOMONTH(W$3,0)+1,-3)&gt;=MAX(W$3,$E30),WORKDAY(EOMONTH(W$3,0)+1,-3)&lt;=IF($F30="",W$4,MIN(W$4,$F30)))*1+AND(WORKDAY(EOMONTH(W$4,0)+1,-3)&lt;&gt;WORKDAY(EOMONTH(W$3,0)+1,-3),WORKDAY(EOMONTH(W$4,0)+1,-3)&gt;=MAX(W$3,$E30),WORKDAY(EOMONTH(W$4,0)+1,-3)&lt;=IF($F30="",W$4,MIN(W$4,$F30)))*1),IF(AND(IF(EDATE($E30,MAX(0,ROUNDUP(((YEAR(W$3)-YEAR($E30))*12+MONTH(W$3)-MONTH($E30))/$G30,0)*$G30))&lt;W$3,EDATE($E30,MAX(0,ROUNDUP(((YEAR(W$3)-YEAR($E30))*12+MONTH(W$3)-MONTH($E30))/$G30,0)*$G30)+$G30),EDATE($E30,MAX(0,ROUNDUP(((YEAR(W$3)-YEAR($E30))*12+MONTH(W$3)-MONTH($E30))/$G30,0)*$G30)))&gt;=W$3,IF(EDATE($E30,MAX(0,ROUNDUP(((YEAR(W$3)-YEAR($E30))*12+MONTH(W$3)-MONTH($E30))/$G30,0)*$G30))&lt;W$3,EDATE($E30,MAX(0,ROUNDUP(((YEAR(W$3)-YEAR($E30))*12+MONTH(W$3)-MONTH($E30))/$G30,0)*$G30)+$G30),EDATE($E30,MAX(0,ROUNDUP(((YEAR(W$3)-YEAR($E30))*12+MONTH(W$3)-MONTH($E30))/$G30,0)*$G30)))&lt;=IF($F30="",W$4,MIN(W$4,$F30))),1,0)))))</f>
        <v>0</v>
      </c>
      <c r="X30" s="25" t="n">
        <f aca="false">IF(OR($C30="",$C30=0,$E30="",$B30="",$G30=-2),0,$C30*IF($G30=0,IF(IF($F30="",X$4,MIN(X$4,$F30))&lt;$E30,0,MAX(0,INT((IF($F30="",X$4,MIN(X$4,$F30))-$E30)/7)+1-MAX(0,ROUNDUP((X$3-$E30)/7,0)))),IF($G30=101,(AND(EOMONTH(X$3,0)&gt;=MAX(X$3,$E30),EOMONTH(X$3,0)&lt;=IF($F30="",X$4,MIN(X$4,$F30)))*1+AND(EOMONTH(X$4,0)&lt;&gt;EOMONTH(X$3,0),EOMONTH(X$4,0)&gt;=MAX(X$3,$E30),EOMONTH(X$4,0)&lt;=IF($F30="",X$4,MIN(X$4,$F30)))*1),IF($G30=102,(AND(WORKDAY(EOMONTH(X$3,0)+1,-3)&gt;=MAX(X$3,$E30),WORKDAY(EOMONTH(X$3,0)+1,-3)&lt;=IF($F30="",X$4,MIN(X$4,$F30)))*1+AND(WORKDAY(EOMONTH(X$4,0)+1,-3)&lt;&gt;WORKDAY(EOMONTH(X$3,0)+1,-3),WORKDAY(EOMONTH(X$4,0)+1,-3)&gt;=MAX(X$3,$E30),WORKDAY(EOMONTH(X$4,0)+1,-3)&lt;=IF($F30="",X$4,MIN(X$4,$F30)))*1),IF(AND(IF(EDATE($E30,MAX(0,ROUNDUP(((YEAR(X$3)-YEAR($E30))*12+MONTH(X$3)-MONTH($E30))/$G30,0)*$G30))&lt;X$3,EDATE($E30,MAX(0,ROUNDUP(((YEAR(X$3)-YEAR($E30))*12+MONTH(X$3)-MONTH($E30))/$G30,0)*$G30)+$G30),EDATE($E30,MAX(0,ROUNDUP(((YEAR(X$3)-YEAR($E30))*12+MONTH(X$3)-MONTH($E30))/$G30,0)*$G30)))&gt;=X$3,IF(EDATE($E30,MAX(0,ROUNDUP(((YEAR(X$3)-YEAR($E30))*12+MONTH(X$3)-MONTH($E30))/$G30,0)*$G30))&lt;X$3,EDATE($E30,MAX(0,ROUNDUP(((YEAR(X$3)-YEAR($E30))*12+MONTH(X$3)-MONTH($E30))/$G30,0)*$G30)+$G30),EDATE($E30,MAX(0,ROUNDUP(((YEAR(X$3)-YEAR($E30))*12+MONTH(X$3)-MONTH($E30))/$G30,0)*$G30)))&lt;=IF($F30="",X$4,MIN(X$4,$F30))),1,0)))))</f>
        <v>0</v>
      </c>
      <c r="Y30" s="25" t="n">
        <f aca="false">IF(OR($C30="",$C30=0,$E30="",$B30="",$G30=-2),0,$C30*IF($G30=0,IF(IF($F30="",Y$4,MIN(Y$4,$F30))&lt;$E30,0,MAX(0,INT((IF($F30="",Y$4,MIN(Y$4,$F30))-$E30)/7)+1-MAX(0,ROUNDUP((Y$3-$E30)/7,0)))),IF($G30=101,(AND(EOMONTH(Y$3,0)&gt;=MAX(Y$3,$E30),EOMONTH(Y$3,0)&lt;=IF($F30="",Y$4,MIN(Y$4,$F30)))*1+AND(EOMONTH(Y$4,0)&lt;&gt;EOMONTH(Y$3,0),EOMONTH(Y$4,0)&gt;=MAX(Y$3,$E30),EOMONTH(Y$4,0)&lt;=IF($F30="",Y$4,MIN(Y$4,$F30)))*1),IF($G30=102,(AND(WORKDAY(EOMONTH(Y$3,0)+1,-3)&gt;=MAX(Y$3,$E30),WORKDAY(EOMONTH(Y$3,0)+1,-3)&lt;=IF($F30="",Y$4,MIN(Y$4,$F30)))*1+AND(WORKDAY(EOMONTH(Y$4,0)+1,-3)&lt;&gt;WORKDAY(EOMONTH(Y$3,0)+1,-3),WORKDAY(EOMONTH(Y$4,0)+1,-3)&gt;=MAX(Y$3,$E30),WORKDAY(EOMONTH(Y$4,0)+1,-3)&lt;=IF($F30="",Y$4,MIN(Y$4,$F30)))*1),IF(AND(IF(EDATE($E30,MAX(0,ROUNDUP(((YEAR(Y$3)-YEAR($E30))*12+MONTH(Y$3)-MONTH($E30))/$G30,0)*$G30))&lt;Y$3,EDATE($E30,MAX(0,ROUNDUP(((YEAR(Y$3)-YEAR($E30))*12+MONTH(Y$3)-MONTH($E30))/$G30,0)*$G30)+$G30),EDATE($E30,MAX(0,ROUNDUP(((YEAR(Y$3)-YEAR($E30))*12+MONTH(Y$3)-MONTH($E30))/$G30,0)*$G30)))&gt;=Y$3,IF(EDATE($E30,MAX(0,ROUNDUP(((YEAR(Y$3)-YEAR($E30))*12+MONTH(Y$3)-MONTH($E30))/$G30,0)*$G30))&lt;Y$3,EDATE($E30,MAX(0,ROUNDUP(((YEAR(Y$3)-YEAR($E30))*12+MONTH(Y$3)-MONTH($E30))/$G30,0)*$G30)+$G30),EDATE($E30,MAX(0,ROUNDUP(((YEAR(Y$3)-YEAR($E30))*12+MONTH(Y$3)-MONTH($E30))/$G30,0)*$G30)))&lt;=IF($F30="",Y$4,MIN(Y$4,$F30))),1,0)))))</f>
        <v>0</v>
      </c>
      <c r="Z30" s="25" t="n">
        <f aca="false">IF(OR($C30="",$C30=0,$E30="",$B30="",$G30=-2),0,$C30*IF($G30=0,IF(IF($F30="",Z$4,MIN(Z$4,$F30))&lt;$E30,0,MAX(0,INT((IF($F30="",Z$4,MIN(Z$4,$F30))-$E30)/7)+1-MAX(0,ROUNDUP((Z$3-$E30)/7,0)))),IF($G30=101,(AND(EOMONTH(Z$3,0)&gt;=MAX(Z$3,$E30),EOMONTH(Z$3,0)&lt;=IF($F30="",Z$4,MIN(Z$4,$F30)))*1+AND(EOMONTH(Z$4,0)&lt;&gt;EOMONTH(Z$3,0),EOMONTH(Z$4,0)&gt;=MAX(Z$3,$E30),EOMONTH(Z$4,0)&lt;=IF($F30="",Z$4,MIN(Z$4,$F30)))*1),IF($G30=102,(AND(WORKDAY(EOMONTH(Z$3,0)+1,-3)&gt;=MAX(Z$3,$E30),WORKDAY(EOMONTH(Z$3,0)+1,-3)&lt;=IF($F30="",Z$4,MIN(Z$4,$F30)))*1+AND(WORKDAY(EOMONTH(Z$4,0)+1,-3)&lt;&gt;WORKDAY(EOMONTH(Z$3,0)+1,-3),WORKDAY(EOMONTH(Z$4,0)+1,-3)&gt;=MAX(Z$3,$E30),WORKDAY(EOMONTH(Z$4,0)+1,-3)&lt;=IF($F30="",Z$4,MIN(Z$4,$F30)))*1),IF(AND(IF(EDATE($E30,MAX(0,ROUNDUP(((YEAR(Z$3)-YEAR($E30))*12+MONTH(Z$3)-MONTH($E30))/$G30,0)*$G30))&lt;Z$3,EDATE($E30,MAX(0,ROUNDUP(((YEAR(Z$3)-YEAR($E30))*12+MONTH(Z$3)-MONTH($E30))/$G30,0)*$G30)+$G30),EDATE($E30,MAX(0,ROUNDUP(((YEAR(Z$3)-YEAR($E30))*12+MONTH(Z$3)-MONTH($E30))/$G30,0)*$G30)))&gt;=Z$3,IF(EDATE($E30,MAX(0,ROUNDUP(((YEAR(Z$3)-YEAR($E30))*12+MONTH(Z$3)-MONTH($E30))/$G30,0)*$G30))&lt;Z$3,EDATE($E30,MAX(0,ROUNDUP(((YEAR(Z$3)-YEAR($E30))*12+MONTH(Z$3)-MONTH($E30))/$G30,0)*$G30)+$G30),EDATE($E30,MAX(0,ROUNDUP(((YEAR(Z$3)-YEAR($E30))*12+MONTH(Z$3)-MONTH($E30))/$G30,0)*$G30)))&lt;=IF($F30="",Z$4,MIN(Z$4,$F30))),1,0)))))</f>
        <v>0</v>
      </c>
      <c r="AA30" s="25" t="n">
        <f aca="false">IF(OR($C30="",$C30=0,$E30="",$B30="",$G30=-2),0,$C30*IF($G30=0,IF(IF($F30="",AA$4,MIN(AA$4,$F30))&lt;$E30,0,MAX(0,INT((IF($F30="",AA$4,MIN(AA$4,$F30))-$E30)/7)+1-MAX(0,ROUNDUP((AA$3-$E30)/7,0)))),IF($G30=101,(AND(EOMONTH(AA$3,0)&gt;=MAX(AA$3,$E30),EOMONTH(AA$3,0)&lt;=IF($F30="",AA$4,MIN(AA$4,$F30)))*1+AND(EOMONTH(AA$4,0)&lt;&gt;EOMONTH(AA$3,0),EOMONTH(AA$4,0)&gt;=MAX(AA$3,$E30),EOMONTH(AA$4,0)&lt;=IF($F30="",AA$4,MIN(AA$4,$F30)))*1),IF($G30=102,(AND(WORKDAY(EOMONTH(AA$3,0)+1,-3)&gt;=MAX(AA$3,$E30),WORKDAY(EOMONTH(AA$3,0)+1,-3)&lt;=IF($F30="",AA$4,MIN(AA$4,$F30)))*1+AND(WORKDAY(EOMONTH(AA$4,0)+1,-3)&lt;&gt;WORKDAY(EOMONTH(AA$3,0)+1,-3),WORKDAY(EOMONTH(AA$4,0)+1,-3)&gt;=MAX(AA$3,$E30),WORKDAY(EOMONTH(AA$4,0)+1,-3)&lt;=IF($F30="",AA$4,MIN(AA$4,$F30)))*1),IF(AND(IF(EDATE($E30,MAX(0,ROUNDUP(((YEAR(AA$3)-YEAR($E30))*12+MONTH(AA$3)-MONTH($E30))/$G30,0)*$G30))&lt;AA$3,EDATE($E30,MAX(0,ROUNDUP(((YEAR(AA$3)-YEAR($E30))*12+MONTH(AA$3)-MONTH($E30))/$G30,0)*$G30)+$G30),EDATE($E30,MAX(0,ROUNDUP(((YEAR(AA$3)-YEAR($E30))*12+MONTH(AA$3)-MONTH($E30))/$G30,0)*$G30)))&gt;=AA$3,IF(EDATE($E30,MAX(0,ROUNDUP(((YEAR(AA$3)-YEAR($E30))*12+MONTH(AA$3)-MONTH($E30))/$G30,0)*$G30))&lt;AA$3,EDATE($E30,MAX(0,ROUNDUP(((YEAR(AA$3)-YEAR($E30))*12+MONTH(AA$3)-MONTH($E30))/$G30,0)*$G30)+$G30),EDATE($E30,MAX(0,ROUNDUP(((YEAR(AA$3)-YEAR($E30))*12+MONTH(AA$3)-MONTH($E30))/$G30,0)*$G30)))&lt;=IF($F30="",AA$4,MIN(AA$4,$F30))),1,0)))))</f>
        <v>0</v>
      </c>
      <c r="AB30" s="25" t="n">
        <f aca="false">IF(OR($C30="",$C30=0,$E30="",$B30="",$G30=-2),0,$C30*IF($G30=0,IF(IF($F30="",AB$4,MIN(AB$4,$F30))&lt;$E30,0,MAX(0,INT((IF($F30="",AB$4,MIN(AB$4,$F30))-$E30)/7)+1-MAX(0,ROUNDUP((AB$3-$E30)/7,0)))),IF($G30=101,(AND(EOMONTH(AB$3,0)&gt;=MAX(AB$3,$E30),EOMONTH(AB$3,0)&lt;=IF($F30="",AB$4,MIN(AB$4,$F30)))*1+AND(EOMONTH(AB$4,0)&lt;&gt;EOMONTH(AB$3,0),EOMONTH(AB$4,0)&gt;=MAX(AB$3,$E30),EOMONTH(AB$4,0)&lt;=IF($F30="",AB$4,MIN(AB$4,$F30)))*1),IF($G30=102,(AND(WORKDAY(EOMONTH(AB$3,0)+1,-3)&gt;=MAX(AB$3,$E30),WORKDAY(EOMONTH(AB$3,0)+1,-3)&lt;=IF($F30="",AB$4,MIN(AB$4,$F30)))*1+AND(WORKDAY(EOMONTH(AB$4,0)+1,-3)&lt;&gt;WORKDAY(EOMONTH(AB$3,0)+1,-3),WORKDAY(EOMONTH(AB$4,0)+1,-3)&gt;=MAX(AB$3,$E30),WORKDAY(EOMONTH(AB$4,0)+1,-3)&lt;=IF($F30="",AB$4,MIN(AB$4,$F30)))*1),IF(AND(IF(EDATE($E30,MAX(0,ROUNDUP(((YEAR(AB$3)-YEAR($E30))*12+MONTH(AB$3)-MONTH($E30))/$G30,0)*$G30))&lt;AB$3,EDATE($E30,MAX(0,ROUNDUP(((YEAR(AB$3)-YEAR($E30))*12+MONTH(AB$3)-MONTH($E30))/$G30,0)*$G30)+$G30),EDATE($E30,MAX(0,ROUNDUP(((YEAR(AB$3)-YEAR($E30))*12+MONTH(AB$3)-MONTH($E30))/$G30,0)*$G30)))&gt;=AB$3,IF(EDATE($E30,MAX(0,ROUNDUP(((YEAR(AB$3)-YEAR($E30))*12+MONTH(AB$3)-MONTH($E30))/$G30,0)*$G30))&lt;AB$3,EDATE($E30,MAX(0,ROUNDUP(((YEAR(AB$3)-YEAR($E30))*12+MONTH(AB$3)-MONTH($E30))/$G30,0)*$G30)+$G30),EDATE($E30,MAX(0,ROUNDUP(((YEAR(AB$3)-YEAR($E30))*12+MONTH(AB$3)-MONTH($E30))/$G30,0)*$G30)))&lt;=IF($F30="",AB$4,MIN(AB$4,$F30))),1,0)))))</f>
        <v>0</v>
      </c>
      <c r="AC30" s="25" t="n">
        <f aca="false">IF(OR($C30="",$C30=0,$E30="",$B30="",$G30=-2),0,$C30*IF($G30=0,IF(IF($F30="",AC$4,MIN(AC$4,$F30))&lt;$E30,0,MAX(0,INT((IF($F30="",AC$4,MIN(AC$4,$F30))-$E30)/7)+1-MAX(0,ROUNDUP((AC$3-$E30)/7,0)))),IF($G30=101,(AND(EOMONTH(AC$3,0)&gt;=MAX(AC$3,$E30),EOMONTH(AC$3,0)&lt;=IF($F30="",AC$4,MIN(AC$4,$F30)))*1+AND(EOMONTH(AC$4,0)&lt;&gt;EOMONTH(AC$3,0),EOMONTH(AC$4,0)&gt;=MAX(AC$3,$E30),EOMONTH(AC$4,0)&lt;=IF($F30="",AC$4,MIN(AC$4,$F30)))*1),IF($G30=102,(AND(WORKDAY(EOMONTH(AC$3,0)+1,-3)&gt;=MAX(AC$3,$E30),WORKDAY(EOMONTH(AC$3,0)+1,-3)&lt;=IF($F30="",AC$4,MIN(AC$4,$F30)))*1+AND(WORKDAY(EOMONTH(AC$4,0)+1,-3)&lt;&gt;WORKDAY(EOMONTH(AC$3,0)+1,-3),WORKDAY(EOMONTH(AC$4,0)+1,-3)&gt;=MAX(AC$3,$E30),WORKDAY(EOMONTH(AC$4,0)+1,-3)&lt;=IF($F30="",AC$4,MIN(AC$4,$F30)))*1),IF(AND(IF(EDATE($E30,MAX(0,ROUNDUP(((YEAR(AC$3)-YEAR($E30))*12+MONTH(AC$3)-MONTH($E30))/$G30,0)*$G30))&lt;AC$3,EDATE($E30,MAX(0,ROUNDUP(((YEAR(AC$3)-YEAR($E30))*12+MONTH(AC$3)-MONTH($E30))/$G30,0)*$G30)+$G30),EDATE($E30,MAX(0,ROUNDUP(((YEAR(AC$3)-YEAR($E30))*12+MONTH(AC$3)-MONTH($E30))/$G30,0)*$G30)))&gt;=AC$3,IF(EDATE($E30,MAX(0,ROUNDUP(((YEAR(AC$3)-YEAR($E30))*12+MONTH(AC$3)-MONTH($E30))/$G30,0)*$G30))&lt;AC$3,EDATE($E30,MAX(0,ROUNDUP(((YEAR(AC$3)-YEAR($E30))*12+MONTH(AC$3)-MONTH($E30))/$G30,0)*$G30)+$G30),EDATE($E30,MAX(0,ROUNDUP(((YEAR(AC$3)-YEAR($E30))*12+MONTH(AC$3)-MONTH($E30))/$G30,0)*$G30)))&lt;=IF($F30="",AC$4,MIN(AC$4,$F30))),1,0)))))</f>
        <v>0</v>
      </c>
      <c r="AD30" s="25" t="n">
        <f aca="false">IF(OR($C30="",$C30=0,$E30="",$B30="",$G30=-2),0,$C30*IF($G30=0,IF(IF($F30="",AD$4,MIN(AD$4,$F30))&lt;$E30,0,MAX(0,INT((IF($F30="",AD$4,MIN(AD$4,$F30))-$E30)/7)+1-MAX(0,ROUNDUP((AD$3-$E30)/7,0)))),IF($G30=101,(AND(EOMONTH(AD$3,0)&gt;=MAX(AD$3,$E30),EOMONTH(AD$3,0)&lt;=IF($F30="",AD$4,MIN(AD$4,$F30)))*1+AND(EOMONTH(AD$4,0)&lt;&gt;EOMONTH(AD$3,0),EOMONTH(AD$4,0)&gt;=MAX(AD$3,$E30),EOMONTH(AD$4,0)&lt;=IF($F30="",AD$4,MIN(AD$4,$F30)))*1),IF($G30=102,(AND(WORKDAY(EOMONTH(AD$3,0)+1,-3)&gt;=MAX(AD$3,$E30),WORKDAY(EOMONTH(AD$3,0)+1,-3)&lt;=IF($F30="",AD$4,MIN(AD$4,$F30)))*1+AND(WORKDAY(EOMONTH(AD$4,0)+1,-3)&lt;&gt;WORKDAY(EOMONTH(AD$3,0)+1,-3),WORKDAY(EOMONTH(AD$4,0)+1,-3)&gt;=MAX(AD$3,$E30),WORKDAY(EOMONTH(AD$4,0)+1,-3)&lt;=IF($F30="",AD$4,MIN(AD$4,$F30)))*1),IF(AND(IF(EDATE($E30,MAX(0,ROUNDUP(((YEAR(AD$3)-YEAR($E30))*12+MONTH(AD$3)-MONTH($E30))/$G30,0)*$G30))&lt;AD$3,EDATE($E30,MAX(0,ROUNDUP(((YEAR(AD$3)-YEAR($E30))*12+MONTH(AD$3)-MONTH($E30))/$G30,0)*$G30)+$G30),EDATE($E30,MAX(0,ROUNDUP(((YEAR(AD$3)-YEAR($E30))*12+MONTH(AD$3)-MONTH($E30))/$G30,0)*$G30)))&gt;=AD$3,IF(EDATE($E30,MAX(0,ROUNDUP(((YEAR(AD$3)-YEAR($E30))*12+MONTH(AD$3)-MONTH($E30))/$G30,0)*$G30))&lt;AD$3,EDATE($E30,MAX(0,ROUNDUP(((YEAR(AD$3)-YEAR($E30))*12+MONTH(AD$3)-MONTH($E30))/$G30,0)*$G30)+$G30),EDATE($E30,MAX(0,ROUNDUP(((YEAR(AD$3)-YEAR($E30))*12+MONTH(AD$3)-MONTH($E30))/$G30,0)*$G30)))&lt;=IF($F30="",AD$4,MIN(AD$4,$F30))),1,0)))))</f>
        <v>0</v>
      </c>
      <c r="AE30" s="25" t="n">
        <f aca="false">IF(OR($C30="",$C30=0,$E30="",$B30="",$G30=-2),0,$C30*IF($G30=0,IF(IF($F30="",AE$4,MIN(AE$4,$F30))&lt;$E30,0,MAX(0,INT((IF($F30="",AE$4,MIN(AE$4,$F30))-$E30)/7)+1-MAX(0,ROUNDUP((AE$3-$E30)/7,0)))),IF($G30=101,(AND(EOMONTH(AE$3,0)&gt;=MAX(AE$3,$E30),EOMONTH(AE$3,0)&lt;=IF($F30="",AE$4,MIN(AE$4,$F30)))*1+AND(EOMONTH(AE$4,0)&lt;&gt;EOMONTH(AE$3,0),EOMONTH(AE$4,0)&gt;=MAX(AE$3,$E30),EOMONTH(AE$4,0)&lt;=IF($F30="",AE$4,MIN(AE$4,$F30)))*1),IF($G30=102,(AND(WORKDAY(EOMONTH(AE$3,0)+1,-3)&gt;=MAX(AE$3,$E30),WORKDAY(EOMONTH(AE$3,0)+1,-3)&lt;=IF($F30="",AE$4,MIN(AE$4,$F30)))*1+AND(WORKDAY(EOMONTH(AE$4,0)+1,-3)&lt;&gt;WORKDAY(EOMONTH(AE$3,0)+1,-3),WORKDAY(EOMONTH(AE$4,0)+1,-3)&gt;=MAX(AE$3,$E30),WORKDAY(EOMONTH(AE$4,0)+1,-3)&lt;=IF($F30="",AE$4,MIN(AE$4,$F30)))*1),IF(AND(IF(EDATE($E30,MAX(0,ROUNDUP(((YEAR(AE$3)-YEAR($E30))*12+MONTH(AE$3)-MONTH($E30))/$G30,0)*$G30))&lt;AE$3,EDATE($E30,MAX(0,ROUNDUP(((YEAR(AE$3)-YEAR($E30))*12+MONTH(AE$3)-MONTH($E30))/$G30,0)*$G30)+$G30),EDATE($E30,MAX(0,ROUNDUP(((YEAR(AE$3)-YEAR($E30))*12+MONTH(AE$3)-MONTH($E30))/$G30,0)*$G30)))&gt;=AE$3,IF(EDATE($E30,MAX(0,ROUNDUP(((YEAR(AE$3)-YEAR($E30))*12+MONTH(AE$3)-MONTH($E30))/$G30,0)*$G30))&lt;AE$3,EDATE($E30,MAX(0,ROUNDUP(((YEAR(AE$3)-YEAR($E30))*12+MONTH(AE$3)-MONTH($E30))/$G30,0)*$G30)+$G30),EDATE($E30,MAX(0,ROUNDUP(((YEAR(AE$3)-YEAR($E30))*12+MONTH(AE$3)-MONTH($E30))/$G30,0)*$G30)))&lt;=IF($F30="",AE$4,MIN(AE$4,$F30))),1,0)))))</f>
        <v>0</v>
      </c>
      <c r="AF30" s="25" t="n">
        <f aca="false">IF(OR($C30="",$C30=0,$E30="",$B30="",$G30=-2),0,$C30*IF($G30=0,IF(IF($F30="",AF$4,MIN(AF$4,$F30))&lt;$E30,0,MAX(0,INT((IF($F30="",AF$4,MIN(AF$4,$F30))-$E30)/7)+1-MAX(0,ROUNDUP((AF$3-$E30)/7,0)))),IF($G30=101,(AND(EOMONTH(AF$3,0)&gt;=MAX(AF$3,$E30),EOMONTH(AF$3,0)&lt;=IF($F30="",AF$4,MIN(AF$4,$F30)))*1+AND(EOMONTH(AF$4,0)&lt;&gt;EOMONTH(AF$3,0),EOMONTH(AF$4,0)&gt;=MAX(AF$3,$E30),EOMONTH(AF$4,0)&lt;=IF($F30="",AF$4,MIN(AF$4,$F30)))*1),IF($G30=102,(AND(WORKDAY(EOMONTH(AF$3,0)+1,-3)&gt;=MAX(AF$3,$E30),WORKDAY(EOMONTH(AF$3,0)+1,-3)&lt;=IF($F30="",AF$4,MIN(AF$4,$F30)))*1+AND(WORKDAY(EOMONTH(AF$4,0)+1,-3)&lt;&gt;WORKDAY(EOMONTH(AF$3,0)+1,-3),WORKDAY(EOMONTH(AF$4,0)+1,-3)&gt;=MAX(AF$3,$E30),WORKDAY(EOMONTH(AF$4,0)+1,-3)&lt;=IF($F30="",AF$4,MIN(AF$4,$F30)))*1),IF(AND(IF(EDATE($E30,MAX(0,ROUNDUP(((YEAR(AF$3)-YEAR($E30))*12+MONTH(AF$3)-MONTH($E30))/$G30,0)*$G30))&lt;AF$3,EDATE($E30,MAX(0,ROUNDUP(((YEAR(AF$3)-YEAR($E30))*12+MONTH(AF$3)-MONTH($E30))/$G30,0)*$G30)+$G30),EDATE($E30,MAX(0,ROUNDUP(((YEAR(AF$3)-YEAR($E30))*12+MONTH(AF$3)-MONTH($E30))/$G30,0)*$G30)))&gt;=AF$3,IF(EDATE($E30,MAX(0,ROUNDUP(((YEAR(AF$3)-YEAR($E30))*12+MONTH(AF$3)-MONTH($E30))/$G30,0)*$G30))&lt;AF$3,EDATE($E30,MAX(0,ROUNDUP(((YEAR(AF$3)-YEAR($E30))*12+MONTH(AF$3)-MONTH($E30))/$G30,0)*$G30)+$G30),EDATE($E30,MAX(0,ROUNDUP(((YEAR(AF$3)-YEAR($E30))*12+MONTH(AF$3)-MONTH($E30))/$G30,0)*$G30)))&lt;=IF($F30="",AF$4,MIN(AF$4,$F30))),1,0)))))</f>
        <v>0</v>
      </c>
    </row>
    <row r="31" customFormat="false" ht="15" hidden="false" customHeight="false" outlineLevel="0" collapsed="false">
      <c r="A31" s="5"/>
      <c r="B31" s="5"/>
      <c r="C31" s="8"/>
      <c r="D31" s="5"/>
      <c r="E31" s="7"/>
      <c r="F31" s="7"/>
      <c r="G31" s="24" t="n">
        <f aca="false">IFERROR(INDEX(Listen!$E$2:$E$8,MATCH(D31,Listen!$D$2:$D$8,0)),-2)</f>
        <v>-2</v>
      </c>
      <c r="H31" s="25" t="n">
        <f aca="false">IF(OR($C31="",$C31=0,$E31="",$B31="",$G31=-2),0,$C31*IF($G31=0,IF(IF($F31="",H$4,MIN(H$4,$F31))&lt;$E31,0,MAX(0,INT((IF($F31="",H$4,MIN(H$4,$F31))-$E31)/7)+1-MAX(0,ROUNDUP((H$3-$E31)/7,0)))),IF($G31=101,(AND(EOMONTH(H$3,0)&gt;=MAX(H$3,$E31),EOMONTH(H$3,0)&lt;=IF($F31="",H$4,MIN(H$4,$F31)))*1+AND(EOMONTH(H$4,0)&lt;&gt;EOMONTH(H$3,0),EOMONTH(H$4,0)&gt;=MAX(H$3,$E31),EOMONTH(H$4,0)&lt;=IF($F31="",H$4,MIN(H$4,$F31)))*1),IF($G31=102,(AND(WORKDAY(EOMONTH(H$3,0)+1,-3)&gt;=MAX(H$3,$E31),WORKDAY(EOMONTH(H$3,0)+1,-3)&lt;=IF($F31="",H$4,MIN(H$4,$F31)))*1+AND(WORKDAY(EOMONTH(H$4,0)+1,-3)&lt;&gt;WORKDAY(EOMONTH(H$3,0)+1,-3),WORKDAY(EOMONTH(H$4,0)+1,-3)&gt;=MAX(H$3,$E31),WORKDAY(EOMONTH(H$4,0)+1,-3)&lt;=IF($F31="",H$4,MIN(H$4,$F31)))*1),IF(AND(IF(EDATE($E31,MAX(0,ROUNDUP(((YEAR(H$3)-YEAR($E31))*12+MONTH(H$3)-MONTH($E31))/$G31,0)*$G31))&lt;H$3,EDATE($E31,MAX(0,ROUNDUP(((YEAR(H$3)-YEAR($E31))*12+MONTH(H$3)-MONTH($E31))/$G31,0)*$G31)+$G31),EDATE($E31,MAX(0,ROUNDUP(((YEAR(H$3)-YEAR($E31))*12+MONTH(H$3)-MONTH($E31))/$G31,0)*$G31)))&gt;=H$3,IF(EDATE($E31,MAX(0,ROUNDUP(((YEAR(H$3)-YEAR($E31))*12+MONTH(H$3)-MONTH($E31))/$G31,0)*$G31))&lt;H$3,EDATE($E31,MAX(0,ROUNDUP(((YEAR(H$3)-YEAR($E31))*12+MONTH(H$3)-MONTH($E31))/$G31,0)*$G31)+$G31),EDATE($E31,MAX(0,ROUNDUP(((YEAR(H$3)-YEAR($E31))*12+MONTH(H$3)-MONTH($E31))/$G31,0)*$G31)))&lt;=IF($F31="",H$4,MIN(H$4,$F31))),1,0)))))</f>
        <v>0</v>
      </c>
      <c r="I31" s="25" t="n">
        <f aca="false">IF(OR($C31="",$C31=0,$E31="",$B31="",$G31=-2),0,$C31*IF($G31=0,IF(IF($F31="",I$4,MIN(I$4,$F31))&lt;$E31,0,MAX(0,INT((IF($F31="",I$4,MIN(I$4,$F31))-$E31)/7)+1-MAX(0,ROUNDUP((I$3-$E31)/7,0)))),IF($G31=101,(AND(EOMONTH(I$3,0)&gt;=MAX(I$3,$E31),EOMONTH(I$3,0)&lt;=IF($F31="",I$4,MIN(I$4,$F31)))*1+AND(EOMONTH(I$4,0)&lt;&gt;EOMONTH(I$3,0),EOMONTH(I$4,0)&gt;=MAX(I$3,$E31),EOMONTH(I$4,0)&lt;=IF($F31="",I$4,MIN(I$4,$F31)))*1),IF($G31=102,(AND(WORKDAY(EOMONTH(I$3,0)+1,-3)&gt;=MAX(I$3,$E31),WORKDAY(EOMONTH(I$3,0)+1,-3)&lt;=IF($F31="",I$4,MIN(I$4,$F31)))*1+AND(WORKDAY(EOMONTH(I$4,0)+1,-3)&lt;&gt;WORKDAY(EOMONTH(I$3,0)+1,-3),WORKDAY(EOMONTH(I$4,0)+1,-3)&gt;=MAX(I$3,$E31),WORKDAY(EOMONTH(I$4,0)+1,-3)&lt;=IF($F31="",I$4,MIN(I$4,$F31)))*1),IF(AND(IF(EDATE($E31,MAX(0,ROUNDUP(((YEAR(I$3)-YEAR($E31))*12+MONTH(I$3)-MONTH($E31))/$G31,0)*$G31))&lt;I$3,EDATE($E31,MAX(0,ROUNDUP(((YEAR(I$3)-YEAR($E31))*12+MONTH(I$3)-MONTH($E31))/$G31,0)*$G31)+$G31),EDATE($E31,MAX(0,ROUNDUP(((YEAR(I$3)-YEAR($E31))*12+MONTH(I$3)-MONTH($E31))/$G31,0)*$G31)))&gt;=I$3,IF(EDATE($E31,MAX(0,ROUNDUP(((YEAR(I$3)-YEAR($E31))*12+MONTH(I$3)-MONTH($E31))/$G31,0)*$G31))&lt;I$3,EDATE($E31,MAX(0,ROUNDUP(((YEAR(I$3)-YEAR($E31))*12+MONTH(I$3)-MONTH($E31))/$G31,0)*$G31)+$G31),EDATE($E31,MAX(0,ROUNDUP(((YEAR(I$3)-YEAR($E31))*12+MONTH(I$3)-MONTH($E31))/$G31,0)*$G31)))&lt;=IF($F31="",I$4,MIN(I$4,$F31))),1,0)))))</f>
        <v>0</v>
      </c>
      <c r="J31" s="25" t="n">
        <f aca="false">IF(OR($C31="",$C31=0,$E31="",$B31="",$G31=-2),0,$C31*IF($G31=0,IF(IF($F31="",J$4,MIN(J$4,$F31))&lt;$E31,0,MAX(0,INT((IF($F31="",J$4,MIN(J$4,$F31))-$E31)/7)+1-MAX(0,ROUNDUP((J$3-$E31)/7,0)))),IF($G31=101,(AND(EOMONTH(J$3,0)&gt;=MAX(J$3,$E31),EOMONTH(J$3,0)&lt;=IF($F31="",J$4,MIN(J$4,$F31)))*1+AND(EOMONTH(J$4,0)&lt;&gt;EOMONTH(J$3,0),EOMONTH(J$4,0)&gt;=MAX(J$3,$E31),EOMONTH(J$4,0)&lt;=IF($F31="",J$4,MIN(J$4,$F31)))*1),IF($G31=102,(AND(WORKDAY(EOMONTH(J$3,0)+1,-3)&gt;=MAX(J$3,$E31),WORKDAY(EOMONTH(J$3,0)+1,-3)&lt;=IF($F31="",J$4,MIN(J$4,$F31)))*1+AND(WORKDAY(EOMONTH(J$4,0)+1,-3)&lt;&gt;WORKDAY(EOMONTH(J$3,0)+1,-3),WORKDAY(EOMONTH(J$4,0)+1,-3)&gt;=MAX(J$3,$E31),WORKDAY(EOMONTH(J$4,0)+1,-3)&lt;=IF($F31="",J$4,MIN(J$4,$F31)))*1),IF(AND(IF(EDATE($E31,MAX(0,ROUNDUP(((YEAR(J$3)-YEAR($E31))*12+MONTH(J$3)-MONTH($E31))/$G31,0)*$G31))&lt;J$3,EDATE($E31,MAX(0,ROUNDUP(((YEAR(J$3)-YEAR($E31))*12+MONTH(J$3)-MONTH($E31))/$G31,0)*$G31)+$G31),EDATE($E31,MAX(0,ROUNDUP(((YEAR(J$3)-YEAR($E31))*12+MONTH(J$3)-MONTH($E31))/$G31,0)*$G31)))&gt;=J$3,IF(EDATE($E31,MAX(0,ROUNDUP(((YEAR(J$3)-YEAR($E31))*12+MONTH(J$3)-MONTH($E31))/$G31,0)*$G31))&lt;J$3,EDATE($E31,MAX(0,ROUNDUP(((YEAR(J$3)-YEAR($E31))*12+MONTH(J$3)-MONTH($E31))/$G31,0)*$G31)+$G31),EDATE($E31,MAX(0,ROUNDUP(((YEAR(J$3)-YEAR($E31))*12+MONTH(J$3)-MONTH($E31))/$G31,0)*$G31)))&lt;=IF($F31="",J$4,MIN(J$4,$F31))),1,0)))))</f>
        <v>0</v>
      </c>
      <c r="K31" s="25" t="n">
        <f aca="false">IF(OR($C31="",$C31=0,$E31="",$B31="",$G31=-2),0,$C31*IF($G31=0,IF(IF($F31="",K$4,MIN(K$4,$F31))&lt;$E31,0,MAX(0,INT((IF($F31="",K$4,MIN(K$4,$F31))-$E31)/7)+1-MAX(0,ROUNDUP((K$3-$E31)/7,0)))),IF($G31=101,(AND(EOMONTH(K$3,0)&gt;=MAX(K$3,$E31),EOMONTH(K$3,0)&lt;=IF($F31="",K$4,MIN(K$4,$F31)))*1+AND(EOMONTH(K$4,0)&lt;&gt;EOMONTH(K$3,0),EOMONTH(K$4,0)&gt;=MAX(K$3,$E31),EOMONTH(K$4,0)&lt;=IF($F31="",K$4,MIN(K$4,$F31)))*1),IF($G31=102,(AND(WORKDAY(EOMONTH(K$3,0)+1,-3)&gt;=MAX(K$3,$E31),WORKDAY(EOMONTH(K$3,0)+1,-3)&lt;=IF($F31="",K$4,MIN(K$4,$F31)))*1+AND(WORKDAY(EOMONTH(K$4,0)+1,-3)&lt;&gt;WORKDAY(EOMONTH(K$3,0)+1,-3),WORKDAY(EOMONTH(K$4,0)+1,-3)&gt;=MAX(K$3,$E31),WORKDAY(EOMONTH(K$4,0)+1,-3)&lt;=IF($F31="",K$4,MIN(K$4,$F31)))*1),IF(AND(IF(EDATE($E31,MAX(0,ROUNDUP(((YEAR(K$3)-YEAR($E31))*12+MONTH(K$3)-MONTH($E31))/$G31,0)*$G31))&lt;K$3,EDATE($E31,MAX(0,ROUNDUP(((YEAR(K$3)-YEAR($E31))*12+MONTH(K$3)-MONTH($E31))/$G31,0)*$G31)+$G31),EDATE($E31,MAX(0,ROUNDUP(((YEAR(K$3)-YEAR($E31))*12+MONTH(K$3)-MONTH($E31))/$G31,0)*$G31)))&gt;=K$3,IF(EDATE($E31,MAX(0,ROUNDUP(((YEAR(K$3)-YEAR($E31))*12+MONTH(K$3)-MONTH($E31))/$G31,0)*$G31))&lt;K$3,EDATE($E31,MAX(0,ROUNDUP(((YEAR(K$3)-YEAR($E31))*12+MONTH(K$3)-MONTH($E31))/$G31,0)*$G31)+$G31),EDATE($E31,MAX(0,ROUNDUP(((YEAR(K$3)-YEAR($E31))*12+MONTH(K$3)-MONTH($E31))/$G31,0)*$G31)))&lt;=IF($F31="",K$4,MIN(K$4,$F31))),1,0)))))</f>
        <v>0</v>
      </c>
      <c r="L31" s="25" t="n">
        <f aca="false">IF(OR($C31="",$C31=0,$E31="",$B31="",$G31=-2),0,$C31*IF($G31=0,IF(IF($F31="",L$4,MIN(L$4,$F31))&lt;$E31,0,MAX(0,INT((IF($F31="",L$4,MIN(L$4,$F31))-$E31)/7)+1-MAX(0,ROUNDUP((L$3-$E31)/7,0)))),IF($G31=101,(AND(EOMONTH(L$3,0)&gt;=MAX(L$3,$E31),EOMONTH(L$3,0)&lt;=IF($F31="",L$4,MIN(L$4,$F31)))*1+AND(EOMONTH(L$4,0)&lt;&gt;EOMONTH(L$3,0),EOMONTH(L$4,0)&gt;=MAX(L$3,$E31),EOMONTH(L$4,0)&lt;=IF($F31="",L$4,MIN(L$4,$F31)))*1),IF($G31=102,(AND(WORKDAY(EOMONTH(L$3,0)+1,-3)&gt;=MAX(L$3,$E31),WORKDAY(EOMONTH(L$3,0)+1,-3)&lt;=IF($F31="",L$4,MIN(L$4,$F31)))*1+AND(WORKDAY(EOMONTH(L$4,0)+1,-3)&lt;&gt;WORKDAY(EOMONTH(L$3,0)+1,-3),WORKDAY(EOMONTH(L$4,0)+1,-3)&gt;=MAX(L$3,$E31),WORKDAY(EOMONTH(L$4,0)+1,-3)&lt;=IF($F31="",L$4,MIN(L$4,$F31)))*1),IF(AND(IF(EDATE($E31,MAX(0,ROUNDUP(((YEAR(L$3)-YEAR($E31))*12+MONTH(L$3)-MONTH($E31))/$G31,0)*$G31))&lt;L$3,EDATE($E31,MAX(0,ROUNDUP(((YEAR(L$3)-YEAR($E31))*12+MONTH(L$3)-MONTH($E31))/$G31,0)*$G31)+$G31),EDATE($E31,MAX(0,ROUNDUP(((YEAR(L$3)-YEAR($E31))*12+MONTH(L$3)-MONTH($E31))/$G31,0)*$G31)))&gt;=L$3,IF(EDATE($E31,MAX(0,ROUNDUP(((YEAR(L$3)-YEAR($E31))*12+MONTH(L$3)-MONTH($E31))/$G31,0)*$G31))&lt;L$3,EDATE($E31,MAX(0,ROUNDUP(((YEAR(L$3)-YEAR($E31))*12+MONTH(L$3)-MONTH($E31))/$G31,0)*$G31)+$G31),EDATE($E31,MAX(0,ROUNDUP(((YEAR(L$3)-YEAR($E31))*12+MONTH(L$3)-MONTH($E31))/$G31,0)*$G31)))&lt;=IF($F31="",L$4,MIN(L$4,$F31))),1,0)))))</f>
        <v>0</v>
      </c>
      <c r="M31" s="25" t="n">
        <f aca="false">IF(OR($C31="",$C31=0,$E31="",$B31="",$G31=-2),0,$C31*IF($G31=0,IF(IF($F31="",M$4,MIN(M$4,$F31))&lt;$E31,0,MAX(0,INT((IF($F31="",M$4,MIN(M$4,$F31))-$E31)/7)+1-MAX(0,ROUNDUP((M$3-$E31)/7,0)))),IF($G31=101,(AND(EOMONTH(M$3,0)&gt;=MAX(M$3,$E31),EOMONTH(M$3,0)&lt;=IF($F31="",M$4,MIN(M$4,$F31)))*1+AND(EOMONTH(M$4,0)&lt;&gt;EOMONTH(M$3,0),EOMONTH(M$4,0)&gt;=MAX(M$3,$E31),EOMONTH(M$4,0)&lt;=IF($F31="",M$4,MIN(M$4,$F31)))*1),IF($G31=102,(AND(WORKDAY(EOMONTH(M$3,0)+1,-3)&gt;=MAX(M$3,$E31),WORKDAY(EOMONTH(M$3,0)+1,-3)&lt;=IF($F31="",M$4,MIN(M$4,$F31)))*1+AND(WORKDAY(EOMONTH(M$4,0)+1,-3)&lt;&gt;WORKDAY(EOMONTH(M$3,0)+1,-3),WORKDAY(EOMONTH(M$4,0)+1,-3)&gt;=MAX(M$3,$E31),WORKDAY(EOMONTH(M$4,0)+1,-3)&lt;=IF($F31="",M$4,MIN(M$4,$F31)))*1),IF(AND(IF(EDATE($E31,MAX(0,ROUNDUP(((YEAR(M$3)-YEAR($E31))*12+MONTH(M$3)-MONTH($E31))/$G31,0)*$G31))&lt;M$3,EDATE($E31,MAX(0,ROUNDUP(((YEAR(M$3)-YEAR($E31))*12+MONTH(M$3)-MONTH($E31))/$G31,0)*$G31)+$G31),EDATE($E31,MAX(0,ROUNDUP(((YEAR(M$3)-YEAR($E31))*12+MONTH(M$3)-MONTH($E31))/$G31,0)*$G31)))&gt;=M$3,IF(EDATE($E31,MAX(0,ROUNDUP(((YEAR(M$3)-YEAR($E31))*12+MONTH(M$3)-MONTH($E31))/$G31,0)*$G31))&lt;M$3,EDATE($E31,MAX(0,ROUNDUP(((YEAR(M$3)-YEAR($E31))*12+MONTH(M$3)-MONTH($E31))/$G31,0)*$G31)+$G31),EDATE($E31,MAX(0,ROUNDUP(((YEAR(M$3)-YEAR($E31))*12+MONTH(M$3)-MONTH($E31))/$G31,0)*$G31)))&lt;=IF($F31="",M$4,MIN(M$4,$F31))),1,0)))))</f>
        <v>0</v>
      </c>
      <c r="N31" s="25" t="n">
        <f aca="false">IF(OR($C31="",$C31=0,$E31="",$B31="",$G31=-2),0,$C31*IF($G31=0,IF(IF($F31="",N$4,MIN(N$4,$F31))&lt;$E31,0,MAX(0,INT((IF($F31="",N$4,MIN(N$4,$F31))-$E31)/7)+1-MAX(0,ROUNDUP((N$3-$E31)/7,0)))),IF($G31=101,(AND(EOMONTH(N$3,0)&gt;=MAX(N$3,$E31),EOMONTH(N$3,0)&lt;=IF($F31="",N$4,MIN(N$4,$F31)))*1+AND(EOMONTH(N$4,0)&lt;&gt;EOMONTH(N$3,0),EOMONTH(N$4,0)&gt;=MAX(N$3,$E31),EOMONTH(N$4,0)&lt;=IF($F31="",N$4,MIN(N$4,$F31)))*1),IF($G31=102,(AND(WORKDAY(EOMONTH(N$3,0)+1,-3)&gt;=MAX(N$3,$E31),WORKDAY(EOMONTH(N$3,0)+1,-3)&lt;=IF($F31="",N$4,MIN(N$4,$F31)))*1+AND(WORKDAY(EOMONTH(N$4,0)+1,-3)&lt;&gt;WORKDAY(EOMONTH(N$3,0)+1,-3),WORKDAY(EOMONTH(N$4,0)+1,-3)&gt;=MAX(N$3,$E31),WORKDAY(EOMONTH(N$4,0)+1,-3)&lt;=IF($F31="",N$4,MIN(N$4,$F31)))*1),IF(AND(IF(EDATE($E31,MAX(0,ROUNDUP(((YEAR(N$3)-YEAR($E31))*12+MONTH(N$3)-MONTH($E31))/$G31,0)*$G31))&lt;N$3,EDATE($E31,MAX(0,ROUNDUP(((YEAR(N$3)-YEAR($E31))*12+MONTH(N$3)-MONTH($E31))/$G31,0)*$G31)+$G31),EDATE($E31,MAX(0,ROUNDUP(((YEAR(N$3)-YEAR($E31))*12+MONTH(N$3)-MONTH($E31))/$G31,0)*$G31)))&gt;=N$3,IF(EDATE($E31,MAX(0,ROUNDUP(((YEAR(N$3)-YEAR($E31))*12+MONTH(N$3)-MONTH($E31))/$G31,0)*$G31))&lt;N$3,EDATE($E31,MAX(0,ROUNDUP(((YEAR(N$3)-YEAR($E31))*12+MONTH(N$3)-MONTH($E31))/$G31,0)*$G31)+$G31),EDATE($E31,MAX(0,ROUNDUP(((YEAR(N$3)-YEAR($E31))*12+MONTH(N$3)-MONTH($E31))/$G31,0)*$G31)))&lt;=IF($F31="",N$4,MIN(N$4,$F31))),1,0)))))</f>
        <v>0</v>
      </c>
      <c r="O31" s="25" t="n">
        <f aca="false">IF(OR($C31="",$C31=0,$E31="",$B31="",$G31=-2),0,$C31*IF($G31=0,IF(IF($F31="",O$4,MIN(O$4,$F31))&lt;$E31,0,MAX(0,INT((IF($F31="",O$4,MIN(O$4,$F31))-$E31)/7)+1-MAX(0,ROUNDUP((O$3-$E31)/7,0)))),IF($G31=101,(AND(EOMONTH(O$3,0)&gt;=MAX(O$3,$E31),EOMONTH(O$3,0)&lt;=IF($F31="",O$4,MIN(O$4,$F31)))*1+AND(EOMONTH(O$4,0)&lt;&gt;EOMONTH(O$3,0),EOMONTH(O$4,0)&gt;=MAX(O$3,$E31),EOMONTH(O$4,0)&lt;=IF($F31="",O$4,MIN(O$4,$F31)))*1),IF($G31=102,(AND(WORKDAY(EOMONTH(O$3,0)+1,-3)&gt;=MAX(O$3,$E31),WORKDAY(EOMONTH(O$3,0)+1,-3)&lt;=IF($F31="",O$4,MIN(O$4,$F31)))*1+AND(WORKDAY(EOMONTH(O$4,0)+1,-3)&lt;&gt;WORKDAY(EOMONTH(O$3,0)+1,-3),WORKDAY(EOMONTH(O$4,0)+1,-3)&gt;=MAX(O$3,$E31),WORKDAY(EOMONTH(O$4,0)+1,-3)&lt;=IF($F31="",O$4,MIN(O$4,$F31)))*1),IF(AND(IF(EDATE($E31,MAX(0,ROUNDUP(((YEAR(O$3)-YEAR($E31))*12+MONTH(O$3)-MONTH($E31))/$G31,0)*$G31))&lt;O$3,EDATE($E31,MAX(0,ROUNDUP(((YEAR(O$3)-YEAR($E31))*12+MONTH(O$3)-MONTH($E31))/$G31,0)*$G31)+$G31),EDATE($E31,MAX(0,ROUNDUP(((YEAR(O$3)-YEAR($E31))*12+MONTH(O$3)-MONTH($E31))/$G31,0)*$G31)))&gt;=O$3,IF(EDATE($E31,MAX(0,ROUNDUP(((YEAR(O$3)-YEAR($E31))*12+MONTH(O$3)-MONTH($E31))/$G31,0)*$G31))&lt;O$3,EDATE($E31,MAX(0,ROUNDUP(((YEAR(O$3)-YEAR($E31))*12+MONTH(O$3)-MONTH($E31))/$G31,0)*$G31)+$G31),EDATE($E31,MAX(0,ROUNDUP(((YEAR(O$3)-YEAR($E31))*12+MONTH(O$3)-MONTH($E31))/$G31,0)*$G31)))&lt;=IF($F31="",O$4,MIN(O$4,$F31))),1,0)))))</f>
        <v>0</v>
      </c>
      <c r="P31" s="25" t="n">
        <f aca="false">IF(OR($C31="",$C31=0,$E31="",$B31="",$G31=-2),0,$C31*IF($G31=0,IF(IF($F31="",P$4,MIN(P$4,$F31))&lt;$E31,0,MAX(0,INT((IF($F31="",P$4,MIN(P$4,$F31))-$E31)/7)+1-MAX(0,ROUNDUP((P$3-$E31)/7,0)))),IF($G31=101,(AND(EOMONTH(P$3,0)&gt;=MAX(P$3,$E31),EOMONTH(P$3,0)&lt;=IF($F31="",P$4,MIN(P$4,$F31)))*1+AND(EOMONTH(P$4,0)&lt;&gt;EOMONTH(P$3,0),EOMONTH(P$4,0)&gt;=MAX(P$3,$E31),EOMONTH(P$4,0)&lt;=IF($F31="",P$4,MIN(P$4,$F31)))*1),IF($G31=102,(AND(WORKDAY(EOMONTH(P$3,0)+1,-3)&gt;=MAX(P$3,$E31),WORKDAY(EOMONTH(P$3,0)+1,-3)&lt;=IF($F31="",P$4,MIN(P$4,$F31)))*1+AND(WORKDAY(EOMONTH(P$4,0)+1,-3)&lt;&gt;WORKDAY(EOMONTH(P$3,0)+1,-3),WORKDAY(EOMONTH(P$4,0)+1,-3)&gt;=MAX(P$3,$E31),WORKDAY(EOMONTH(P$4,0)+1,-3)&lt;=IF($F31="",P$4,MIN(P$4,$F31)))*1),IF(AND(IF(EDATE($E31,MAX(0,ROUNDUP(((YEAR(P$3)-YEAR($E31))*12+MONTH(P$3)-MONTH($E31))/$G31,0)*$G31))&lt;P$3,EDATE($E31,MAX(0,ROUNDUP(((YEAR(P$3)-YEAR($E31))*12+MONTH(P$3)-MONTH($E31))/$G31,0)*$G31)+$G31),EDATE($E31,MAX(0,ROUNDUP(((YEAR(P$3)-YEAR($E31))*12+MONTH(P$3)-MONTH($E31))/$G31,0)*$G31)))&gt;=P$3,IF(EDATE($E31,MAX(0,ROUNDUP(((YEAR(P$3)-YEAR($E31))*12+MONTH(P$3)-MONTH($E31))/$G31,0)*$G31))&lt;P$3,EDATE($E31,MAX(0,ROUNDUP(((YEAR(P$3)-YEAR($E31))*12+MONTH(P$3)-MONTH($E31))/$G31,0)*$G31)+$G31),EDATE($E31,MAX(0,ROUNDUP(((YEAR(P$3)-YEAR($E31))*12+MONTH(P$3)-MONTH($E31))/$G31,0)*$G31)))&lt;=IF($F31="",P$4,MIN(P$4,$F31))),1,0)))))</f>
        <v>0</v>
      </c>
      <c r="Q31" s="25" t="n">
        <f aca="false">IF(OR($C31="",$C31=0,$E31="",$B31="",$G31=-2),0,$C31*IF($G31=0,IF(IF($F31="",Q$4,MIN(Q$4,$F31))&lt;$E31,0,MAX(0,INT((IF($F31="",Q$4,MIN(Q$4,$F31))-$E31)/7)+1-MAX(0,ROUNDUP((Q$3-$E31)/7,0)))),IF($G31=101,(AND(EOMONTH(Q$3,0)&gt;=MAX(Q$3,$E31),EOMONTH(Q$3,0)&lt;=IF($F31="",Q$4,MIN(Q$4,$F31)))*1+AND(EOMONTH(Q$4,0)&lt;&gt;EOMONTH(Q$3,0),EOMONTH(Q$4,0)&gt;=MAX(Q$3,$E31),EOMONTH(Q$4,0)&lt;=IF($F31="",Q$4,MIN(Q$4,$F31)))*1),IF($G31=102,(AND(WORKDAY(EOMONTH(Q$3,0)+1,-3)&gt;=MAX(Q$3,$E31),WORKDAY(EOMONTH(Q$3,0)+1,-3)&lt;=IF($F31="",Q$4,MIN(Q$4,$F31)))*1+AND(WORKDAY(EOMONTH(Q$4,0)+1,-3)&lt;&gt;WORKDAY(EOMONTH(Q$3,0)+1,-3),WORKDAY(EOMONTH(Q$4,0)+1,-3)&gt;=MAX(Q$3,$E31),WORKDAY(EOMONTH(Q$4,0)+1,-3)&lt;=IF($F31="",Q$4,MIN(Q$4,$F31)))*1),IF(AND(IF(EDATE($E31,MAX(0,ROUNDUP(((YEAR(Q$3)-YEAR($E31))*12+MONTH(Q$3)-MONTH($E31))/$G31,0)*$G31))&lt;Q$3,EDATE($E31,MAX(0,ROUNDUP(((YEAR(Q$3)-YEAR($E31))*12+MONTH(Q$3)-MONTH($E31))/$G31,0)*$G31)+$G31),EDATE($E31,MAX(0,ROUNDUP(((YEAR(Q$3)-YEAR($E31))*12+MONTH(Q$3)-MONTH($E31))/$G31,0)*$G31)))&gt;=Q$3,IF(EDATE($E31,MAX(0,ROUNDUP(((YEAR(Q$3)-YEAR($E31))*12+MONTH(Q$3)-MONTH($E31))/$G31,0)*$G31))&lt;Q$3,EDATE($E31,MAX(0,ROUNDUP(((YEAR(Q$3)-YEAR($E31))*12+MONTH(Q$3)-MONTH($E31))/$G31,0)*$G31)+$G31),EDATE($E31,MAX(0,ROUNDUP(((YEAR(Q$3)-YEAR($E31))*12+MONTH(Q$3)-MONTH($E31))/$G31,0)*$G31)))&lt;=IF($F31="",Q$4,MIN(Q$4,$F31))),1,0)))))</f>
        <v>0</v>
      </c>
      <c r="R31" s="25" t="n">
        <f aca="false">IF(OR($C31="",$C31=0,$E31="",$B31="",$G31=-2),0,$C31*IF($G31=0,IF(IF($F31="",R$4,MIN(R$4,$F31))&lt;$E31,0,MAX(0,INT((IF($F31="",R$4,MIN(R$4,$F31))-$E31)/7)+1-MAX(0,ROUNDUP((R$3-$E31)/7,0)))),IF($G31=101,(AND(EOMONTH(R$3,0)&gt;=MAX(R$3,$E31),EOMONTH(R$3,0)&lt;=IF($F31="",R$4,MIN(R$4,$F31)))*1+AND(EOMONTH(R$4,0)&lt;&gt;EOMONTH(R$3,0),EOMONTH(R$4,0)&gt;=MAX(R$3,$E31),EOMONTH(R$4,0)&lt;=IF($F31="",R$4,MIN(R$4,$F31)))*1),IF($G31=102,(AND(WORKDAY(EOMONTH(R$3,0)+1,-3)&gt;=MAX(R$3,$E31),WORKDAY(EOMONTH(R$3,0)+1,-3)&lt;=IF($F31="",R$4,MIN(R$4,$F31)))*1+AND(WORKDAY(EOMONTH(R$4,0)+1,-3)&lt;&gt;WORKDAY(EOMONTH(R$3,0)+1,-3),WORKDAY(EOMONTH(R$4,0)+1,-3)&gt;=MAX(R$3,$E31),WORKDAY(EOMONTH(R$4,0)+1,-3)&lt;=IF($F31="",R$4,MIN(R$4,$F31)))*1),IF(AND(IF(EDATE($E31,MAX(0,ROUNDUP(((YEAR(R$3)-YEAR($E31))*12+MONTH(R$3)-MONTH($E31))/$G31,0)*$G31))&lt;R$3,EDATE($E31,MAX(0,ROUNDUP(((YEAR(R$3)-YEAR($E31))*12+MONTH(R$3)-MONTH($E31))/$G31,0)*$G31)+$G31),EDATE($E31,MAX(0,ROUNDUP(((YEAR(R$3)-YEAR($E31))*12+MONTH(R$3)-MONTH($E31))/$G31,0)*$G31)))&gt;=R$3,IF(EDATE($E31,MAX(0,ROUNDUP(((YEAR(R$3)-YEAR($E31))*12+MONTH(R$3)-MONTH($E31))/$G31,0)*$G31))&lt;R$3,EDATE($E31,MAX(0,ROUNDUP(((YEAR(R$3)-YEAR($E31))*12+MONTH(R$3)-MONTH($E31))/$G31,0)*$G31)+$G31),EDATE($E31,MAX(0,ROUNDUP(((YEAR(R$3)-YEAR($E31))*12+MONTH(R$3)-MONTH($E31))/$G31,0)*$G31)))&lt;=IF($F31="",R$4,MIN(R$4,$F31))),1,0)))))</f>
        <v>0</v>
      </c>
      <c r="S31" s="25" t="n">
        <f aca="false">IF(OR($C31="",$C31=0,$E31="",$B31="",$G31=-2),0,$C31*IF($G31=0,IF(IF($F31="",S$4,MIN(S$4,$F31))&lt;$E31,0,MAX(0,INT((IF($F31="",S$4,MIN(S$4,$F31))-$E31)/7)+1-MAX(0,ROUNDUP((S$3-$E31)/7,0)))),IF($G31=101,(AND(EOMONTH(S$3,0)&gt;=MAX(S$3,$E31),EOMONTH(S$3,0)&lt;=IF($F31="",S$4,MIN(S$4,$F31)))*1+AND(EOMONTH(S$4,0)&lt;&gt;EOMONTH(S$3,0),EOMONTH(S$4,0)&gt;=MAX(S$3,$E31),EOMONTH(S$4,0)&lt;=IF($F31="",S$4,MIN(S$4,$F31)))*1),IF($G31=102,(AND(WORKDAY(EOMONTH(S$3,0)+1,-3)&gt;=MAX(S$3,$E31),WORKDAY(EOMONTH(S$3,0)+1,-3)&lt;=IF($F31="",S$4,MIN(S$4,$F31)))*1+AND(WORKDAY(EOMONTH(S$4,0)+1,-3)&lt;&gt;WORKDAY(EOMONTH(S$3,0)+1,-3),WORKDAY(EOMONTH(S$4,0)+1,-3)&gt;=MAX(S$3,$E31),WORKDAY(EOMONTH(S$4,0)+1,-3)&lt;=IF($F31="",S$4,MIN(S$4,$F31)))*1),IF(AND(IF(EDATE($E31,MAX(0,ROUNDUP(((YEAR(S$3)-YEAR($E31))*12+MONTH(S$3)-MONTH($E31))/$G31,0)*$G31))&lt;S$3,EDATE($E31,MAX(0,ROUNDUP(((YEAR(S$3)-YEAR($E31))*12+MONTH(S$3)-MONTH($E31))/$G31,0)*$G31)+$G31),EDATE($E31,MAX(0,ROUNDUP(((YEAR(S$3)-YEAR($E31))*12+MONTH(S$3)-MONTH($E31))/$G31,0)*$G31)))&gt;=S$3,IF(EDATE($E31,MAX(0,ROUNDUP(((YEAR(S$3)-YEAR($E31))*12+MONTH(S$3)-MONTH($E31))/$G31,0)*$G31))&lt;S$3,EDATE($E31,MAX(0,ROUNDUP(((YEAR(S$3)-YEAR($E31))*12+MONTH(S$3)-MONTH($E31))/$G31,0)*$G31)+$G31),EDATE($E31,MAX(0,ROUNDUP(((YEAR(S$3)-YEAR($E31))*12+MONTH(S$3)-MONTH($E31))/$G31,0)*$G31)))&lt;=IF($F31="",S$4,MIN(S$4,$F31))),1,0)))))</f>
        <v>0</v>
      </c>
      <c r="T31" s="25" t="n">
        <f aca="false">IF(OR($C31="",$C31=0,$E31="",$B31="",$G31=-2),0,$C31*IF($G31=0,IF(IF($F31="",T$4,MIN(T$4,$F31))&lt;$E31,0,MAX(0,INT((IF($F31="",T$4,MIN(T$4,$F31))-$E31)/7)+1-MAX(0,ROUNDUP((T$3-$E31)/7,0)))),IF($G31=101,(AND(EOMONTH(T$3,0)&gt;=MAX(T$3,$E31),EOMONTH(T$3,0)&lt;=IF($F31="",T$4,MIN(T$4,$F31)))*1+AND(EOMONTH(T$4,0)&lt;&gt;EOMONTH(T$3,0),EOMONTH(T$4,0)&gt;=MAX(T$3,$E31),EOMONTH(T$4,0)&lt;=IF($F31="",T$4,MIN(T$4,$F31)))*1),IF($G31=102,(AND(WORKDAY(EOMONTH(T$3,0)+1,-3)&gt;=MAX(T$3,$E31),WORKDAY(EOMONTH(T$3,0)+1,-3)&lt;=IF($F31="",T$4,MIN(T$4,$F31)))*1+AND(WORKDAY(EOMONTH(T$4,0)+1,-3)&lt;&gt;WORKDAY(EOMONTH(T$3,0)+1,-3),WORKDAY(EOMONTH(T$4,0)+1,-3)&gt;=MAX(T$3,$E31),WORKDAY(EOMONTH(T$4,0)+1,-3)&lt;=IF($F31="",T$4,MIN(T$4,$F31)))*1),IF(AND(IF(EDATE($E31,MAX(0,ROUNDUP(((YEAR(T$3)-YEAR($E31))*12+MONTH(T$3)-MONTH($E31))/$G31,0)*$G31))&lt;T$3,EDATE($E31,MAX(0,ROUNDUP(((YEAR(T$3)-YEAR($E31))*12+MONTH(T$3)-MONTH($E31))/$G31,0)*$G31)+$G31),EDATE($E31,MAX(0,ROUNDUP(((YEAR(T$3)-YEAR($E31))*12+MONTH(T$3)-MONTH($E31))/$G31,0)*$G31)))&gt;=T$3,IF(EDATE($E31,MAX(0,ROUNDUP(((YEAR(T$3)-YEAR($E31))*12+MONTH(T$3)-MONTH($E31))/$G31,0)*$G31))&lt;T$3,EDATE($E31,MAX(0,ROUNDUP(((YEAR(T$3)-YEAR($E31))*12+MONTH(T$3)-MONTH($E31))/$G31,0)*$G31)+$G31),EDATE($E31,MAX(0,ROUNDUP(((YEAR(T$3)-YEAR($E31))*12+MONTH(T$3)-MONTH($E31))/$G31,0)*$G31)))&lt;=IF($F31="",T$4,MIN(T$4,$F31))),1,0)))))</f>
        <v>0</v>
      </c>
      <c r="U31" s="25" t="n">
        <f aca="false">IF(OR($C31="",$C31=0,$E31="",$B31="",$G31=-2),0,$C31*IF($G31=0,IF(IF($F31="",U$4,MIN(U$4,$F31))&lt;$E31,0,MAX(0,INT((IF($F31="",U$4,MIN(U$4,$F31))-$E31)/7)+1-MAX(0,ROUNDUP((U$3-$E31)/7,0)))),IF($G31=101,(AND(EOMONTH(U$3,0)&gt;=MAX(U$3,$E31),EOMONTH(U$3,0)&lt;=IF($F31="",U$4,MIN(U$4,$F31)))*1+AND(EOMONTH(U$4,0)&lt;&gt;EOMONTH(U$3,0),EOMONTH(U$4,0)&gt;=MAX(U$3,$E31),EOMONTH(U$4,0)&lt;=IF($F31="",U$4,MIN(U$4,$F31)))*1),IF($G31=102,(AND(WORKDAY(EOMONTH(U$3,0)+1,-3)&gt;=MAX(U$3,$E31),WORKDAY(EOMONTH(U$3,0)+1,-3)&lt;=IF($F31="",U$4,MIN(U$4,$F31)))*1+AND(WORKDAY(EOMONTH(U$4,0)+1,-3)&lt;&gt;WORKDAY(EOMONTH(U$3,0)+1,-3),WORKDAY(EOMONTH(U$4,0)+1,-3)&gt;=MAX(U$3,$E31),WORKDAY(EOMONTH(U$4,0)+1,-3)&lt;=IF($F31="",U$4,MIN(U$4,$F31)))*1),IF(AND(IF(EDATE($E31,MAX(0,ROUNDUP(((YEAR(U$3)-YEAR($E31))*12+MONTH(U$3)-MONTH($E31))/$G31,0)*$G31))&lt;U$3,EDATE($E31,MAX(0,ROUNDUP(((YEAR(U$3)-YEAR($E31))*12+MONTH(U$3)-MONTH($E31))/$G31,0)*$G31)+$G31),EDATE($E31,MAX(0,ROUNDUP(((YEAR(U$3)-YEAR($E31))*12+MONTH(U$3)-MONTH($E31))/$G31,0)*$G31)))&gt;=U$3,IF(EDATE($E31,MAX(0,ROUNDUP(((YEAR(U$3)-YEAR($E31))*12+MONTH(U$3)-MONTH($E31))/$G31,0)*$G31))&lt;U$3,EDATE($E31,MAX(0,ROUNDUP(((YEAR(U$3)-YEAR($E31))*12+MONTH(U$3)-MONTH($E31))/$G31,0)*$G31)+$G31),EDATE($E31,MAX(0,ROUNDUP(((YEAR(U$3)-YEAR($E31))*12+MONTH(U$3)-MONTH($E31))/$G31,0)*$G31)))&lt;=IF($F31="",U$4,MIN(U$4,$F31))),1,0)))))</f>
        <v>0</v>
      </c>
      <c r="V31" s="25" t="n">
        <f aca="false">IF(OR($C31="",$C31=0,$E31="",$B31="",$G31=-2),0,$C31*IF($G31=0,IF(IF($F31="",V$4,MIN(V$4,$F31))&lt;$E31,0,MAX(0,INT((IF($F31="",V$4,MIN(V$4,$F31))-$E31)/7)+1-MAX(0,ROUNDUP((V$3-$E31)/7,0)))),IF($G31=101,(AND(EOMONTH(V$3,0)&gt;=MAX(V$3,$E31),EOMONTH(V$3,0)&lt;=IF($F31="",V$4,MIN(V$4,$F31)))*1+AND(EOMONTH(V$4,0)&lt;&gt;EOMONTH(V$3,0),EOMONTH(V$4,0)&gt;=MAX(V$3,$E31),EOMONTH(V$4,0)&lt;=IF($F31="",V$4,MIN(V$4,$F31)))*1),IF($G31=102,(AND(WORKDAY(EOMONTH(V$3,0)+1,-3)&gt;=MAX(V$3,$E31),WORKDAY(EOMONTH(V$3,0)+1,-3)&lt;=IF($F31="",V$4,MIN(V$4,$F31)))*1+AND(WORKDAY(EOMONTH(V$4,0)+1,-3)&lt;&gt;WORKDAY(EOMONTH(V$3,0)+1,-3),WORKDAY(EOMONTH(V$4,0)+1,-3)&gt;=MAX(V$3,$E31),WORKDAY(EOMONTH(V$4,0)+1,-3)&lt;=IF($F31="",V$4,MIN(V$4,$F31)))*1),IF(AND(IF(EDATE($E31,MAX(0,ROUNDUP(((YEAR(V$3)-YEAR($E31))*12+MONTH(V$3)-MONTH($E31))/$G31,0)*$G31))&lt;V$3,EDATE($E31,MAX(0,ROUNDUP(((YEAR(V$3)-YEAR($E31))*12+MONTH(V$3)-MONTH($E31))/$G31,0)*$G31)+$G31),EDATE($E31,MAX(0,ROUNDUP(((YEAR(V$3)-YEAR($E31))*12+MONTH(V$3)-MONTH($E31))/$G31,0)*$G31)))&gt;=V$3,IF(EDATE($E31,MAX(0,ROUNDUP(((YEAR(V$3)-YEAR($E31))*12+MONTH(V$3)-MONTH($E31))/$G31,0)*$G31))&lt;V$3,EDATE($E31,MAX(0,ROUNDUP(((YEAR(V$3)-YEAR($E31))*12+MONTH(V$3)-MONTH($E31))/$G31,0)*$G31)+$G31),EDATE($E31,MAX(0,ROUNDUP(((YEAR(V$3)-YEAR($E31))*12+MONTH(V$3)-MONTH($E31))/$G31,0)*$G31)))&lt;=IF($F31="",V$4,MIN(V$4,$F31))),1,0)))))</f>
        <v>0</v>
      </c>
      <c r="W31" s="25" t="n">
        <f aca="false">IF(OR($C31="",$C31=0,$E31="",$B31="",$G31=-2),0,$C31*IF($G31=0,IF(IF($F31="",W$4,MIN(W$4,$F31))&lt;$E31,0,MAX(0,INT((IF($F31="",W$4,MIN(W$4,$F31))-$E31)/7)+1-MAX(0,ROUNDUP((W$3-$E31)/7,0)))),IF($G31=101,(AND(EOMONTH(W$3,0)&gt;=MAX(W$3,$E31),EOMONTH(W$3,0)&lt;=IF($F31="",W$4,MIN(W$4,$F31)))*1+AND(EOMONTH(W$4,0)&lt;&gt;EOMONTH(W$3,0),EOMONTH(W$4,0)&gt;=MAX(W$3,$E31),EOMONTH(W$4,0)&lt;=IF($F31="",W$4,MIN(W$4,$F31)))*1),IF($G31=102,(AND(WORKDAY(EOMONTH(W$3,0)+1,-3)&gt;=MAX(W$3,$E31),WORKDAY(EOMONTH(W$3,0)+1,-3)&lt;=IF($F31="",W$4,MIN(W$4,$F31)))*1+AND(WORKDAY(EOMONTH(W$4,0)+1,-3)&lt;&gt;WORKDAY(EOMONTH(W$3,0)+1,-3),WORKDAY(EOMONTH(W$4,0)+1,-3)&gt;=MAX(W$3,$E31),WORKDAY(EOMONTH(W$4,0)+1,-3)&lt;=IF($F31="",W$4,MIN(W$4,$F31)))*1),IF(AND(IF(EDATE($E31,MAX(0,ROUNDUP(((YEAR(W$3)-YEAR($E31))*12+MONTH(W$3)-MONTH($E31))/$G31,0)*$G31))&lt;W$3,EDATE($E31,MAX(0,ROUNDUP(((YEAR(W$3)-YEAR($E31))*12+MONTH(W$3)-MONTH($E31))/$G31,0)*$G31)+$G31),EDATE($E31,MAX(0,ROUNDUP(((YEAR(W$3)-YEAR($E31))*12+MONTH(W$3)-MONTH($E31))/$G31,0)*$G31)))&gt;=W$3,IF(EDATE($E31,MAX(0,ROUNDUP(((YEAR(W$3)-YEAR($E31))*12+MONTH(W$3)-MONTH($E31))/$G31,0)*$G31))&lt;W$3,EDATE($E31,MAX(0,ROUNDUP(((YEAR(W$3)-YEAR($E31))*12+MONTH(W$3)-MONTH($E31))/$G31,0)*$G31)+$G31),EDATE($E31,MAX(0,ROUNDUP(((YEAR(W$3)-YEAR($E31))*12+MONTH(W$3)-MONTH($E31))/$G31,0)*$G31)))&lt;=IF($F31="",W$4,MIN(W$4,$F31))),1,0)))))</f>
        <v>0</v>
      </c>
      <c r="X31" s="25" t="n">
        <f aca="false">IF(OR($C31="",$C31=0,$E31="",$B31="",$G31=-2),0,$C31*IF($G31=0,IF(IF($F31="",X$4,MIN(X$4,$F31))&lt;$E31,0,MAX(0,INT((IF($F31="",X$4,MIN(X$4,$F31))-$E31)/7)+1-MAX(0,ROUNDUP((X$3-$E31)/7,0)))),IF($G31=101,(AND(EOMONTH(X$3,0)&gt;=MAX(X$3,$E31),EOMONTH(X$3,0)&lt;=IF($F31="",X$4,MIN(X$4,$F31)))*1+AND(EOMONTH(X$4,0)&lt;&gt;EOMONTH(X$3,0),EOMONTH(X$4,0)&gt;=MAX(X$3,$E31),EOMONTH(X$4,0)&lt;=IF($F31="",X$4,MIN(X$4,$F31)))*1),IF($G31=102,(AND(WORKDAY(EOMONTH(X$3,0)+1,-3)&gt;=MAX(X$3,$E31),WORKDAY(EOMONTH(X$3,0)+1,-3)&lt;=IF($F31="",X$4,MIN(X$4,$F31)))*1+AND(WORKDAY(EOMONTH(X$4,0)+1,-3)&lt;&gt;WORKDAY(EOMONTH(X$3,0)+1,-3),WORKDAY(EOMONTH(X$4,0)+1,-3)&gt;=MAX(X$3,$E31),WORKDAY(EOMONTH(X$4,0)+1,-3)&lt;=IF($F31="",X$4,MIN(X$4,$F31)))*1),IF(AND(IF(EDATE($E31,MAX(0,ROUNDUP(((YEAR(X$3)-YEAR($E31))*12+MONTH(X$3)-MONTH($E31))/$G31,0)*$G31))&lt;X$3,EDATE($E31,MAX(0,ROUNDUP(((YEAR(X$3)-YEAR($E31))*12+MONTH(X$3)-MONTH($E31))/$G31,0)*$G31)+$G31),EDATE($E31,MAX(0,ROUNDUP(((YEAR(X$3)-YEAR($E31))*12+MONTH(X$3)-MONTH($E31))/$G31,0)*$G31)))&gt;=X$3,IF(EDATE($E31,MAX(0,ROUNDUP(((YEAR(X$3)-YEAR($E31))*12+MONTH(X$3)-MONTH($E31))/$G31,0)*$G31))&lt;X$3,EDATE($E31,MAX(0,ROUNDUP(((YEAR(X$3)-YEAR($E31))*12+MONTH(X$3)-MONTH($E31))/$G31,0)*$G31)+$G31),EDATE($E31,MAX(0,ROUNDUP(((YEAR(X$3)-YEAR($E31))*12+MONTH(X$3)-MONTH($E31))/$G31,0)*$G31)))&lt;=IF($F31="",X$4,MIN(X$4,$F31))),1,0)))))</f>
        <v>0</v>
      </c>
      <c r="Y31" s="25" t="n">
        <f aca="false">IF(OR($C31="",$C31=0,$E31="",$B31="",$G31=-2),0,$C31*IF($G31=0,IF(IF($F31="",Y$4,MIN(Y$4,$F31))&lt;$E31,0,MAX(0,INT((IF($F31="",Y$4,MIN(Y$4,$F31))-$E31)/7)+1-MAX(0,ROUNDUP((Y$3-$E31)/7,0)))),IF($G31=101,(AND(EOMONTH(Y$3,0)&gt;=MAX(Y$3,$E31),EOMONTH(Y$3,0)&lt;=IF($F31="",Y$4,MIN(Y$4,$F31)))*1+AND(EOMONTH(Y$4,0)&lt;&gt;EOMONTH(Y$3,0),EOMONTH(Y$4,0)&gt;=MAX(Y$3,$E31),EOMONTH(Y$4,0)&lt;=IF($F31="",Y$4,MIN(Y$4,$F31)))*1),IF($G31=102,(AND(WORKDAY(EOMONTH(Y$3,0)+1,-3)&gt;=MAX(Y$3,$E31),WORKDAY(EOMONTH(Y$3,0)+1,-3)&lt;=IF($F31="",Y$4,MIN(Y$4,$F31)))*1+AND(WORKDAY(EOMONTH(Y$4,0)+1,-3)&lt;&gt;WORKDAY(EOMONTH(Y$3,0)+1,-3),WORKDAY(EOMONTH(Y$4,0)+1,-3)&gt;=MAX(Y$3,$E31),WORKDAY(EOMONTH(Y$4,0)+1,-3)&lt;=IF($F31="",Y$4,MIN(Y$4,$F31)))*1),IF(AND(IF(EDATE($E31,MAX(0,ROUNDUP(((YEAR(Y$3)-YEAR($E31))*12+MONTH(Y$3)-MONTH($E31))/$G31,0)*$G31))&lt;Y$3,EDATE($E31,MAX(0,ROUNDUP(((YEAR(Y$3)-YEAR($E31))*12+MONTH(Y$3)-MONTH($E31))/$G31,0)*$G31)+$G31),EDATE($E31,MAX(0,ROUNDUP(((YEAR(Y$3)-YEAR($E31))*12+MONTH(Y$3)-MONTH($E31))/$G31,0)*$G31)))&gt;=Y$3,IF(EDATE($E31,MAX(0,ROUNDUP(((YEAR(Y$3)-YEAR($E31))*12+MONTH(Y$3)-MONTH($E31))/$G31,0)*$G31))&lt;Y$3,EDATE($E31,MAX(0,ROUNDUP(((YEAR(Y$3)-YEAR($E31))*12+MONTH(Y$3)-MONTH($E31))/$G31,0)*$G31)+$G31),EDATE($E31,MAX(0,ROUNDUP(((YEAR(Y$3)-YEAR($E31))*12+MONTH(Y$3)-MONTH($E31))/$G31,0)*$G31)))&lt;=IF($F31="",Y$4,MIN(Y$4,$F31))),1,0)))))</f>
        <v>0</v>
      </c>
      <c r="Z31" s="25" t="n">
        <f aca="false">IF(OR($C31="",$C31=0,$E31="",$B31="",$G31=-2),0,$C31*IF($G31=0,IF(IF($F31="",Z$4,MIN(Z$4,$F31))&lt;$E31,0,MAX(0,INT((IF($F31="",Z$4,MIN(Z$4,$F31))-$E31)/7)+1-MAX(0,ROUNDUP((Z$3-$E31)/7,0)))),IF($G31=101,(AND(EOMONTH(Z$3,0)&gt;=MAX(Z$3,$E31),EOMONTH(Z$3,0)&lt;=IF($F31="",Z$4,MIN(Z$4,$F31)))*1+AND(EOMONTH(Z$4,0)&lt;&gt;EOMONTH(Z$3,0),EOMONTH(Z$4,0)&gt;=MAX(Z$3,$E31),EOMONTH(Z$4,0)&lt;=IF($F31="",Z$4,MIN(Z$4,$F31)))*1),IF($G31=102,(AND(WORKDAY(EOMONTH(Z$3,0)+1,-3)&gt;=MAX(Z$3,$E31),WORKDAY(EOMONTH(Z$3,0)+1,-3)&lt;=IF($F31="",Z$4,MIN(Z$4,$F31)))*1+AND(WORKDAY(EOMONTH(Z$4,0)+1,-3)&lt;&gt;WORKDAY(EOMONTH(Z$3,0)+1,-3),WORKDAY(EOMONTH(Z$4,0)+1,-3)&gt;=MAX(Z$3,$E31),WORKDAY(EOMONTH(Z$4,0)+1,-3)&lt;=IF($F31="",Z$4,MIN(Z$4,$F31)))*1),IF(AND(IF(EDATE($E31,MAX(0,ROUNDUP(((YEAR(Z$3)-YEAR($E31))*12+MONTH(Z$3)-MONTH($E31))/$G31,0)*$G31))&lt;Z$3,EDATE($E31,MAX(0,ROUNDUP(((YEAR(Z$3)-YEAR($E31))*12+MONTH(Z$3)-MONTH($E31))/$G31,0)*$G31)+$G31),EDATE($E31,MAX(0,ROUNDUP(((YEAR(Z$3)-YEAR($E31))*12+MONTH(Z$3)-MONTH($E31))/$G31,0)*$G31)))&gt;=Z$3,IF(EDATE($E31,MAX(0,ROUNDUP(((YEAR(Z$3)-YEAR($E31))*12+MONTH(Z$3)-MONTH($E31))/$G31,0)*$G31))&lt;Z$3,EDATE($E31,MAX(0,ROUNDUP(((YEAR(Z$3)-YEAR($E31))*12+MONTH(Z$3)-MONTH($E31))/$G31,0)*$G31)+$G31),EDATE($E31,MAX(0,ROUNDUP(((YEAR(Z$3)-YEAR($E31))*12+MONTH(Z$3)-MONTH($E31))/$G31,0)*$G31)))&lt;=IF($F31="",Z$4,MIN(Z$4,$F31))),1,0)))))</f>
        <v>0</v>
      </c>
      <c r="AA31" s="25" t="n">
        <f aca="false">IF(OR($C31="",$C31=0,$E31="",$B31="",$G31=-2),0,$C31*IF($G31=0,IF(IF($F31="",AA$4,MIN(AA$4,$F31))&lt;$E31,0,MAX(0,INT((IF($F31="",AA$4,MIN(AA$4,$F31))-$E31)/7)+1-MAX(0,ROUNDUP((AA$3-$E31)/7,0)))),IF($G31=101,(AND(EOMONTH(AA$3,0)&gt;=MAX(AA$3,$E31),EOMONTH(AA$3,0)&lt;=IF($F31="",AA$4,MIN(AA$4,$F31)))*1+AND(EOMONTH(AA$4,0)&lt;&gt;EOMONTH(AA$3,0),EOMONTH(AA$4,0)&gt;=MAX(AA$3,$E31),EOMONTH(AA$4,0)&lt;=IF($F31="",AA$4,MIN(AA$4,$F31)))*1),IF($G31=102,(AND(WORKDAY(EOMONTH(AA$3,0)+1,-3)&gt;=MAX(AA$3,$E31),WORKDAY(EOMONTH(AA$3,0)+1,-3)&lt;=IF($F31="",AA$4,MIN(AA$4,$F31)))*1+AND(WORKDAY(EOMONTH(AA$4,0)+1,-3)&lt;&gt;WORKDAY(EOMONTH(AA$3,0)+1,-3),WORKDAY(EOMONTH(AA$4,0)+1,-3)&gt;=MAX(AA$3,$E31),WORKDAY(EOMONTH(AA$4,0)+1,-3)&lt;=IF($F31="",AA$4,MIN(AA$4,$F31)))*1),IF(AND(IF(EDATE($E31,MAX(0,ROUNDUP(((YEAR(AA$3)-YEAR($E31))*12+MONTH(AA$3)-MONTH($E31))/$G31,0)*$G31))&lt;AA$3,EDATE($E31,MAX(0,ROUNDUP(((YEAR(AA$3)-YEAR($E31))*12+MONTH(AA$3)-MONTH($E31))/$G31,0)*$G31)+$G31),EDATE($E31,MAX(0,ROUNDUP(((YEAR(AA$3)-YEAR($E31))*12+MONTH(AA$3)-MONTH($E31))/$G31,0)*$G31)))&gt;=AA$3,IF(EDATE($E31,MAX(0,ROUNDUP(((YEAR(AA$3)-YEAR($E31))*12+MONTH(AA$3)-MONTH($E31))/$G31,0)*$G31))&lt;AA$3,EDATE($E31,MAX(0,ROUNDUP(((YEAR(AA$3)-YEAR($E31))*12+MONTH(AA$3)-MONTH($E31))/$G31,0)*$G31)+$G31),EDATE($E31,MAX(0,ROUNDUP(((YEAR(AA$3)-YEAR($E31))*12+MONTH(AA$3)-MONTH($E31))/$G31,0)*$G31)))&lt;=IF($F31="",AA$4,MIN(AA$4,$F31))),1,0)))))</f>
        <v>0</v>
      </c>
      <c r="AB31" s="25" t="n">
        <f aca="false">IF(OR($C31="",$C31=0,$E31="",$B31="",$G31=-2),0,$C31*IF($G31=0,IF(IF($F31="",AB$4,MIN(AB$4,$F31))&lt;$E31,0,MAX(0,INT((IF($F31="",AB$4,MIN(AB$4,$F31))-$E31)/7)+1-MAX(0,ROUNDUP((AB$3-$E31)/7,0)))),IF($G31=101,(AND(EOMONTH(AB$3,0)&gt;=MAX(AB$3,$E31),EOMONTH(AB$3,0)&lt;=IF($F31="",AB$4,MIN(AB$4,$F31)))*1+AND(EOMONTH(AB$4,0)&lt;&gt;EOMONTH(AB$3,0),EOMONTH(AB$4,0)&gt;=MAX(AB$3,$E31),EOMONTH(AB$4,0)&lt;=IF($F31="",AB$4,MIN(AB$4,$F31)))*1),IF($G31=102,(AND(WORKDAY(EOMONTH(AB$3,0)+1,-3)&gt;=MAX(AB$3,$E31),WORKDAY(EOMONTH(AB$3,0)+1,-3)&lt;=IF($F31="",AB$4,MIN(AB$4,$F31)))*1+AND(WORKDAY(EOMONTH(AB$4,0)+1,-3)&lt;&gt;WORKDAY(EOMONTH(AB$3,0)+1,-3),WORKDAY(EOMONTH(AB$4,0)+1,-3)&gt;=MAX(AB$3,$E31),WORKDAY(EOMONTH(AB$4,0)+1,-3)&lt;=IF($F31="",AB$4,MIN(AB$4,$F31)))*1),IF(AND(IF(EDATE($E31,MAX(0,ROUNDUP(((YEAR(AB$3)-YEAR($E31))*12+MONTH(AB$3)-MONTH($E31))/$G31,0)*$G31))&lt;AB$3,EDATE($E31,MAX(0,ROUNDUP(((YEAR(AB$3)-YEAR($E31))*12+MONTH(AB$3)-MONTH($E31))/$G31,0)*$G31)+$G31),EDATE($E31,MAX(0,ROUNDUP(((YEAR(AB$3)-YEAR($E31))*12+MONTH(AB$3)-MONTH($E31))/$G31,0)*$G31)))&gt;=AB$3,IF(EDATE($E31,MAX(0,ROUNDUP(((YEAR(AB$3)-YEAR($E31))*12+MONTH(AB$3)-MONTH($E31))/$G31,0)*$G31))&lt;AB$3,EDATE($E31,MAX(0,ROUNDUP(((YEAR(AB$3)-YEAR($E31))*12+MONTH(AB$3)-MONTH($E31))/$G31,0)*$G31)+$G31),EDATE($E31,MAX(0,ROUNDUP(((YEAR(AB$3)-YEAR($E31))*12+MONTH(AB$3)-MONTH($E31))/$G31,0)*$G31)))&lt;=IF($F31="",AB$4,MIN(AB$4,$F31))),1,0)))))</f>
        <v>0</v>
      </c>
      <c r="AC31" s="25" t="n">
        <f aca="false">IF(OR($C31="",$C31=0,$E31="",$B31="",$G31=-2),0,$C31*IF($G31=0,IF(IF($F31="",AC$4,MIN(AC$4,$F31))&lt;$E31,0,MAX(0,INT((IF($F31="",AC$4,MIN(AC$4,$F31))-$E31)/7)+1-MAX(0,ROUNDUP((AC$3-$E31)/7,0)))),IF($G31=101,(AND(EOMONTH(AC$3,0)&gt;=MAX(AC$3,$E31),EOMONTH(AC$3,0)&lt;=IF($F31="",AC$4,MIN(AC$4,$F31)))*1+AND(EOMONTH(AC$4,0)&lt;&gt;EOMONTH(AC$3,0),EOMONTH(AC$4,0)&gt;=MAX(AC$3,$E31),EOMONTH(AC$4,0)&lt;=IF($F31="",AC$4,MIN(AC$4,$F31)))*1),IF($G31=102,(AND(WORKDAY(EOMONTH(AC$3,0)+1,-3)&gt;=MAX(AC$3,$E31),WORKDAY(EOMONTH(AC$3,0)+1,-3)&lt;=IF($F31="",AC$4,MIN(AC$4,$F31)))*1+AND(WORKDAY(EOMONTH(AC$4,0)+1,-3)&lt;&gt;WORKDAY(EOMONTH(AC$3,0)+1,-3),WORKDAY(EOMONTH(AC$4,0)+1,-3)&gt;=MAX(AC$3,$E31),WORKDAY(EOMONTH(AC$4,0)+1,-3)&lt;=IF($F31="",AC$4,MIN(AC$4,$F31)))*1),IF(AND(IF(EDATE($E31,MAX(0,ROUNDUP(((YEAR(AC$3)-YEAR($E31))*12+MONTH(AC$3)-MONTH($E31))/$G31,0)*$G31))&lt;AC$3,EDATE($E31,MAX(0,ROUNDUP(((YEAR(AC$3)-YEAR($E31))*12+MONTH(AC$3)-MONTH($E31))/$G31,0)*$G31)+$G31),EDATE($E31,MAX(0,ROUNDUP(((YEAR(AC$3)-YEAR($E31))*12+MONTH(AC$3)-MONTH($E31))/$G31,0)*$G31)))&gt;=AC$3,IF(EDATE($E31,MAX(0,ROUNDUP(((YEAR(AC$3)-YEAR($E31))*12+MONTH(AC$3)-MONTH($E31))/$G31,0)*$G31))&lt;AC$3,EDATE($E31,MAX(0,ROUNDUP(((YEAR(AC$3)-YEAR($E31))*12+MONTH(AC$3)-MONTH($E31))/$G31,0)*$G31)+$G31),EDATE($E31,MAX(0,ROUNDUP(((YEAR(AC$3)-YEAR($E31))*12+MONTH(AC$3)-MONTH($E31))/$G31,0)*$G31)))&lt;=IF($F31="",AC$4,MIN(AC$4,$F31))),1,0)))))</f>
        <v>0</v>
      </c>
      <c r="AD31" s="25" t="n">
        <f aca="false">IF(OR($C31="",$C31=0,$E31="",$B31="",$G31=-2),0,$C31*IF($G31=0,IF(IF($F31="",AD$4,MIN(AD$4,$F31))&lt;$E31,0,MAX(0,INT((IF($F31="",AD$4,MIN(AD$4,$F31))-$E31)/7)+1-MAX(0,ROUNDUP((AD$3-$E31)/7,0)))),IF($G31=101,(AND(EOMONTH(AD$3,0)&gt;=MAX(AD$3,$E31),EOMONTH(AD$3,0)&lt;=IF($F31="",AD$4,MIN(AD$4,$F31)))*1+AND(EOMONTH(AD$4,0)&lt;&gt;EOMONTH(AD$3,0),EOMONTH(AD$4,0)&gt;=MAX(AD$3,$E31),EOMONTH(AD$4,0)&lt;=IF($F31="",AD$4,MIN(AD$4,$F31)))*1),IF($G31=102,(AND(WORKDAY(EOMONTH(AD$3,0)+1,-3)&gt;=MAX(AD$3,$E31),WORKDAY(EOMONTH(AD$3,0)+1,-3)&lt;=IF($F31="",AD$4,MIN(AD$4,$F31)))*1+AND(WORKDAY(EOMONTH(AD$4,0)+1,-3)&lt;&gt;WORKDAY(EOMONTH(AD$3,0)+1,-3),WORKDAY(EOMONTH(AD$4,0)+1,-3)&gt;=MAX(AD$3,$E31),WORKDAY(EOMONTH(AD$4,0)+1,-3)&lt;=IF($F31="",AD$4,MIN(AD$4,$F31)))*1),IF(AND(IF(EDATE($E31,MAX(0,ROUNDUP(((YEAR(AD$3)-YEAR($E31))*12+MONTH(AD$3)-MONTH($E31))/$G31,0)*$G31))&lt;AD$3,EDATE($E31,MAX(0,ROUNDUP(((YEAR(AD$3)-YEAR($E31))*12+MONTH(AD$3)-MONTH($E31))/$G31,0)*$G31)+$G31),EDATE($E31,MAX(0,ROUNDUP(((YEAR(AD$3)-YEAR($E31))*12+MONTH(AD$3)-MONTH($E31))/$G31,0)*$G31)))&gt;=AD$3,IF(EDATE($E31,MAX(0,ROUNDUP(((YEAR(AD$3)-YEAR($E31))*12+MONTH(AD$3)-MONTH($E31))/$G31,0)*$G31))&lt;AD$3,EDATE($E31,MAX(0,ROUNDUP(((YEAR(AD$3)-YEAR($E31))*12+MONTH(AD$3)-MONTH($E31))/$G31,0)*$G31)+$G31),EDATE($E31,MAX(0,ROUNDUP(((YEAR(AD$3)-YEAR($E31))*12+MONTH(AD$3)-MONTH($E31))/$G31,0)*$G31)))&lt;=IF($F31="",AD$4,MIN(AD$4,$F31))),1,0)))))</f>
        <v>0</v>
      </c>
      <c r="AE31" s="25" t="n">
        <f aca="false">IF(OR($C31="",$C31=0,$E31="",$B31="",$G31=-2),0,$C31*IF($G31=0,IF(IF($F31="",AE$4,MIN(AE$4,$F31))&lt;$E31,0,MAX(0,INT((IF($F31="",AE$4,MIN(AE$4,$F31))-$E31)/7)+1-MAX(0,ROUNDUP((AE$3-$E31)/7,0)))),IF($G31=101,(AND(EOMONTH(AE$3,0)&gt;=MAX(AE$3,$E31),EOMONTH(AE$3,0)&lt;=IF($F31="",AE$4,MIN(AE$4,$F31)))*1+AND(EOMONTH(AE$4,0)&lt;&gt;EOMONTH(AE$3,0),EOMONTH(AE$4,0)&gt;=MAX(AE$3,$E31),EOMONTH(AE$4,0)&lt;=IF($F31="",AE$4,MIN(AE$4,$F31)))*1),IF($G31=102,(AND(WORKDAY(EOMONTH(AE$3,0)+1,-3)&gt;=MAX(AE$3,$E31),WORKDAY(EOMONTH(AE$3,0)+1,-3)&lt;=IF($F31="",AE$4,MIN(AE$4,$F31)))*1+AND(WORKDAY(EOMONTH(AE$4,0)+1,-3)&lt;&gt;WORKDAY(EOMONTH(AE$3,0)+1,-3),WORKDAY(EOMONTH(AE$4,0)+1,-3)&gt;=MAX(AE$3,$E31),WORKDAY(EOMONTH(AE$4,0)+1,-3)&lt;=IF($F31="",AE$4,MIN(AE$4,$F31)))*1),IF(AND(IF(EDATE($E31,MAX(0,ROUNDUP(((YEAR(AE$3)-YEAR($E31))*12+MONTH(AE$3)-MONTH($E31))/$G31,0)*$G31))&lt;AE$3,EDATE($E31,MAX(0,ROUNDUP(((YEAR(AE$3)-YEAR($E31))*12+MONTH(AE$3)-MONTH($E31))/$G31,0)*$G31)+$G31),EDATE($E31,MAX(0,ROUNDUP(((YEAR(AE$3)-YEAR($E31))*12+MONTH(AE$3)-MONTH($E31))/$G31,0)*$G31)))&gt;=AE$3,IF(EDATE($E31,MAX(0,ROUNDUP(((YEAR(AE$3)-YEAR($E31))*12+MONTH(AE$3)-MONTH($E31))/$G31,0)*$G31))&lt;AE$3,EDATE($E31,MAX(0,ROUNDUP(((YEAR(AE$3)-YEAR($E31))*12+MONTH(AE$3)-MONTH($E31))/$G31,0)*$G31)+$G31),EDATE($E31,MAX(0,ROUNDUP(((YEAR(AE$3)-YEAR($E31))*12+MONTH(AE$3)-MONTH($E31))/$G31,0)*$G31)))&lt;=IF($F31="",AE$4,MIN(AE$4,$F31))),1,0)))))</f>
        <v>0</v>
      </c>
      <c r="AF31" s="25" t="n">
        <f aca="false">IF(OR($C31="",$C31=0,$E31="",$B31="",$G31=-2),0,$C31*IF($G31=0,IF(IF($F31="",AF$4,MIN(AF$4,$F31))&lt;$E31,0,MAX(0,INT((IF($F31="",AF$4,MIN(AF$4,$F31))-$E31)/7)+1-MAX(0,ROUNDUP((AF$3-$E31)/7,0)))),IF($G31=101,(AND(EOMONTH(AF$3,0)&gt;=MAX(AF$3,$E31),EOMONTH(AF$3,0)&lt;=IF($F31="",AF$4,MIN(AF$4,$F31)))*1+AND(EOMONTH(AF$4,0)&lt;&gt;EOMONTH(AF$3,0),EOMONTH(AF$4,0)&gt;=MAX(AF$3,$E31),EOMONTH(AF$4,0)&lt;=IF($F31="",AF$4,MIN(AF$4,$F31)))*1),IF($G31=102,(AND(WORKDAY(EOMONTH(AF$3,0)+1,-3)&gt;=MAX(AF$3,$E31),WORKDAY(EOMONTH(AF$3,0)+1,-3)&lt;=IF($F31="",AF$4,MIN(AF$4,$F31)))*1+AND(WORKDAY(EOMONTH(AF$4,0)+1,-3)&lt;&gt;WORKDAY(EOMONTH(AF$3,0)+1,-3),WORKDAY(EOMONTH(AF$4,0)+1,-3)&gt;=MAX(AF$3,$E31),WORKDAY(EOMONTH(AF$4,0)+1,-3)&lt;=IF($F31="",AF$4,MIN(AF$4,$F31)))*1),IF(AND(IF(EDATE($E31,MAX(0,ROUNDUP(((YEAR(AF$3)-YEAR($E31))*12+MONTH(AF$3)-MONTH($E31))/$G31,0)*$G31))&lt;AF$3,EDATE($E31,MAX(0,ROUNDUP(((YEAR(AF$3)-YEAR($E31))*12+MONTH(AF$3)-MONTH($E31))/$G31,0)*$G31)+$G31),EDATE($E31,MAX(0,ROUNDUP(((YEAR(AF$3)-YEAR($E31))*12+MONTH(AF$3)-MONTH($E31))/$G31,0)*$G31)))&gt;=AF$3,IF(EDATE($E31,MAX(0,ROUNDUP(((YEAR(AF$3)-YEAR($E31))*12+MONTH(AF$3)-MONTH($E31))/$G31,0)*$G31))&lt;AF$3,EDATE($E31,MAX(0,ROUNDUP(((YEAR(AF$3)-YEAR($E31))*12+MONTH(AF$3)-MONTH($E31))/$G31,0)*$G31)+$G31),EDATE($E31,MAX(0,ROUNDUP(((YEAR(AF$3)-YEAR($E31))*12+MONTH(AF$3)-MONTH($E31))/$G31,0)*$G31)))&lt;=IF($F31="",AF$4,MIN(AF$4,$F31))),1,0)))))</f>
        <v>0</v>
      </c>
    </row>
    <row r="32" customFormat="false" ht="15" hidden="false" customHeight="false" outlineLevel="0" collapsed="false">
      <c r="A32" s="5"/>
      <c r="B32" s="5"/>
      <c r="C32" s="8"/>
      <c r="D32" s="5"/>
      <c r="E32" s="7"/>
      <c r="F32" s="7"/>
      <c r="G32" s="24" t="n">
        <f aca="false">IFERROR(INDEX(Listen!$E$2:$E$8,MATCH(D32,Listen!$D$2:$D$8,0)),-2)</f>
        <v>-2</v>
      </c>
      <c r="H32" s="25" t="n">
        <f aca="false">IF(OR($C32="",$C32=0,$E32="",$B32="",$G32=-2),0,$C32*IF($G32=0,IF(IF($F32="",H$4,MIN(H$4,$F32))&lt;$E32,0,MAX(0,INT((IF($F32="",H$4,MIN(H$4,$F32))-$E32)/7)+1-MAX(0,ROUNDUP((H$3-$E32)/7,0)))),IF($G32=101,(AND(EOMONTH(H$3,0)&gt;=MAX(H$3,$E32),EOMONTH(H$3,0)&lt;=IF($F32="",H$4,MIN(H$4,$F32)))*1+AND(EOMONTH(H$4,0)&lt;&gt;EOMONTH(H$3,0),EOMONTH(H$4,0)&gt;=MAX(H$3,$E32),EOMONTH(H$4,0)&lt;=IF($F32="",H$4,MIN(H$4,$F32)))*1),IF($G32=102,(AND(WORKDAY(EOMONTH(H$3,0)+1,-3)&gt;=MAX(H$3,$E32),WORKDAY(EOMONTH(H$3,0)+1,-3)&lt;=IF($F32="",H$4,MIN(H$4,$F32)))*1+AND(WORKDAY(EOMONTH(H$4,0)+1,-3)&lt;&gt;WORKDAY(EOMONTH(H$3,0)+1,-3),WORKDAY(EOMONTH(H$4,0)+1,-3)&gt;=MAX(H$3,$E32),WORKDAY(EOMONTH(H$4,0)+1,-3)&lt;=IF($F32="",H$4,MIN(H$4,$F32)))*1),IF(AND(IF(EDATE($E32,MAX(0,ROUNDUP(((YEAR(H$3)-YEAR($E32))*12+MONTH(H$3)-MONTH($E32))/$G32,0)*$G32))&lt;H$3,EDATE($E32,MAX(0,ROUNDUP(((YEAR(H$3)-YEAR($E32))*12+MONTH(H$3)-MONTH($E32))/$G32,0)*$G32)+$G32),EDATE($E32,MAX(0,ROUNDUP(((YEAR(H$3)-YEAR($E32))*12+MONTH(H$3)-MONTH($E32))/$G32,0)*$G32)))&gt;=H$3,IF(EDATE($E32,MAX(0,ROUNDUP(((YEAR(H$3)-YEAR($E32))*12+MONTH(H$3)-MONTH($E32))/$G32,0)*$G32))&lt;H$3,EDATE($E32,MAX(0,ROUNDUP(((YEAR(H$3)-YEAR($E32))*12+MONTH(H$3)-MONTH($E32))/$G32,0)*$G32)+$G32),EDATE($E32,MAX(0,ROUNDUP(((YEAR(H$3)-YEAR($E32))*12+MONTH(H$3)-MONTH($E32))/$G32,0)*$G32)))&lt;=IF($F32="",H$4,MIN(H$4,$F32))),1,0)))))</f>
        <v>0</v>
      </c>
      <c r="I32" s="25" t="n">
        <f aca="false">IF(OR($C32="",$C32=0,$E32="",$B32="",$G32=-2),0,$C32*IF($G32=0,IF(IF($F32="",I$4,MIN(I$4,$F32))&lt;$E32,0,MAX(0,INT((IF($F32="",I$4,MIN(I$4,$F32))-$E32)/7)+1-MAX(0,ROUNDUP((I$3-$E32)/7,0)))),IF($G32=101,(AND(EOMONTH(I$3,0)&gt;=MAX(I$3,$E32),EOMONTH(I$3,0)&lt;=IF($F32="",I$4,MIN(I$4,$F32)))*1+AND(EOMONTH(I$4,0)&lt;&gt;EOMONTH(I$3,0),EOMONTH(I$4,0)&gt;=MAX(I$3,$E32),EOMONTH(I$4,0)&lt;=IF($F32="",I$4,MIN(I$4,$F32)))*1),IF($G32=102,(AND(WORKDAY(EOMONTH(I$3,0)+1,-3)&gt;=MAX(I$3,$E32),WORKDAY(EOMONTH(I$3,0)+1,-3)&lt;=IF($F32="",I$4,MIN(I$4,$F32)))*1+AND(WORKDAY(EOMONTH(I$4,0)+1,-3)&lt;&gt;WORKDAY(EOMONTH(I$3,0)+1,-3),WORKDAY(EOMONTH(I$4,0)+1,-3)&gt;=MAX(I$3,$E32),WORKDAY(EOMONTH(I$4,0)+1,-3)&lt;=IF($F32="",I$4,MIN(I$4,$F32)))*1),IF(AND(IF(EDATE($E32,MAX(0,ROUNDUP(((YEAR(I$3)-YEAR($E32))*12+MONTH(I$3)-MONTH($E32))/$G32,0)*$G32))&lt;I$3,EDATE($E32,MAX(0,ROUNDUP(((YEAR(I$3)-YEAR($E32))*12+MONTH(I$3)-MONTH($E32))/$G32,0)*$G32)+$G32),EDATE($E32,MAX(0,ROUNDUP(((YEAR(I$3)-YEAR($E32))*12+MONTH(I$3)-MONTH($E32))/$G32,0)*$G32)))&gt;=I$3,IF(EDATE($E32,MAX(0,ROUNDUP(((YEAR(I$3)-YEAR($E32))*12+MONTH(I$3)-MONTH($E32))/$G32,0)*$G32))&lt;I$3,EDATE($E32,MAX(0,ROUNDUP(((YEAR(I$3)-YEAR($E32))*12+MONTH(I$3)-MONTH($E32))/$G32,0)*$G32)+$G32),EDATE($E32,MAX(0,ROUNDUP(((YEAR(I$3)-YEAR($E32))*12+MONTH(I$3)-MONTH($E32))/$G32,0)*$G32)))&lt;=IF($F32="",I$4,MIN(I$4,$F32))),1,0)))))</f>
        <v>0</v>
      </c>
      <c r="J32" s="25" t="n">
        <f aca="false">IF(OR($C32="",$C32=0,$E32="",$B32="",$G32=-2),0,$C32*IF($G32=0,IF(IF($F32="",J$4,MIN(J$4,$F32))&lt;$E32,0,MAX(0,INT((IF($F32="",J$4,MIN(J$4,$F32))-$E32)/7)+1-MAX(0,ROUNDUP((J$3-$E32)/7,0)))),IF($G32=101,(AND(EOMONTH(J$3,0)&gt;=MAX(J$3,$E32),EOMONTH(J$3,0)&lt;=IF($F32="",J$4,MIN(J$4,$F32)))*1+AND(EOMONTH(J$4,0)&lt;&gt;EOMONTH(J$3,0),EOMONTH(J$4,0)&gt;=MAX(J$3,$E32),EOMONTH(J$4,0)&lt;=IF($F32="",J$4,MIN(J$4,$F32)))*1),IF($G32=102,(AND(WORKDAY(EOMONTH(J$3,0)+1,-3)&gt;=MAX(J$3,$E32),WORKDAY(EOMONTH(J$3,0)+1,-3)&lt;=IF($F32="",J$4,MIN(J$4,$F32)))*1+AND(WORKDAY(EOMONTH(J$4,0)+1,-3)&lt;&gt;WORKDAY(EOMONTH(J$3,0)+1,-3),WORKDAY(EOMONTH(J$4,0)+1,-3)&gt;=MAX(J$3,$E32),WORKDAY(EOMONTH(J$4,0)+1,-3)&lt;=IF($F32="",J$4,MIN(J$4,$F32)))*1),IF(AND(IF(EDATE($E32,MAX(0,ROUNDUP(((YEAR(J$3)-YEAR($E32))*12+MONTH(J$3)-MONTH($E32))/$G32,0)*$G32))&lt;J$3,EDATE($E32,MAX(0,ROUNDUP(((YEAR(J$3)-YEAR($E32))*12+MONTH(J$3)-MONTH($E32))/$G32,0)*$G32)+$G32),EDATE($E32,MAX(0,ROUNDUP(((YEAR(J$3)-YEAR($E32))*12+MONTH(J$3)-MONTH($E32))/$G32,0)*$G32)))&gt;=J$3,IF(EDATE($E32,MAX(0,ROUNDUP(((YEAR(J$3)-YEAR($E32))*12+MONTH(J$3)-MONTH($E32))/$G32,0)*$G32))&lt;J$3,EDATE($E32,MAX(0,ROUNDUP(((YEAR(J$3)-YEAR($E32))*12+MONTH(J$3)-MONTH($E32))/$G32,0)*$G32)+$G32),EDATE($E32,MAX(0,ROUNDUP(((YEAR(J$3)-YEAR($E32))*12+MONTH(J$3)-MONTH($E32))/$G32,0)*$G32)))&lt;=IF($F32="",J$4,MIN(J$4,$F32))),1,0)))))</f>
        <v>0</v>
      </c>
      <c r="K32" s="25" t="n">
        <f aca="false">IF(OR($C32="",$C32=0,$E32="",$B32="",$G32=-2),0,$C32*IF($G32=0,IF(IF($F32="",K$4,MIN(K$4,$F32))&lt;$E32,0,MAX(0,INT((IF($F32="",K$4,MIN(K$4,$F32))-$E32)/7)+1-MAX(0,ROUNDUP((K$3-$E32)/7,0)))),IF($G32=101,(AND(EOMONTH(K$3,0)&gt;=MAX(K$3,$E32),EOMONTH(K$3,0)&lt;=IF($F32="",K$4,MIN(K$4,$F32)))*1+AND(EOMONTH(K$4,0)&lt;&gt;EOMONTH(K$3,0),EOMONTH(K$4,0)&gt;=MAX(K$3,$E32),EOMONTH(K$4,0)&lt;=IF($F32="",K$4,MIN(K$4,$F32)))*1),IF($G32=102,(AND(WORKDAY(EOMONTH(K$3,0)+1,-3)&gt;=MAX(K$3,$E32),WORKDAY(EOMONTH(K$3,0)+1,-3)&lt;=IF($F32="",K$4,MIN(K$4,$F32)))*1+AND(WORKDAY(EOMONTH(K$4,0)+1,-3)&lt;&gt;WORKDAY(EOMONTH(K$3,0)+1,-3),WORKDAY(EOMONTH(K$4,0)+1,-3)&gt;=MAX(K$3,$E32),WORKDAY(EOMONTH(K$4,0)+1,-3)&lt;=IF($F32="",K$4,MIN(K$4,$F32)))*1),IF(AND(IF(EDATE($E32,MAX(0,ROUNDUP(((YEAR(K$3)-YEAR($E32))*12+MONTH(K$3)-MONTH($E32))/$G32,0)*$G32))&lt;K$3,EDATE($E32,MAX(0,ROUNDUP(((YEAR(K$3)-YEAR($E32))*12+MONTH(K$3)-MONTH($E32))/$G32,0)*$G32)+$G32),EDATE($E32,MAX(0,ROUNDUP(((YEAR(K$3)-YEAR($E32))*12+MONTH(K$3)-MONTH($E32))/$G32,0)*$G32)))&gt;=K$3,IF(EDATE($E32,MAX(0,ROUNDUP(((YEAR(K$3)-YEAR($E32))*12+MONTH(K$3)-MONTH($E32))/$G32,0)*$G32))&lt;K$3,EDATE($E32,MAX(0,ROUNDUP(((YEAR(K$3)-YEAR($E32))*12+MONTH(K$3)-MONTH($E32))/$G32,0)*$G32)+$G32),EDATE($E32,MAX(0,ROUNDUP(((YEAR(K$3)-YEAR($E32))*12+MONTH(K$3)-MONTH($E32))/$G32,0)*$G32)))&lt;=IF($F32="",K$4,MIN(K$4,$F32))),1,0)))))</f>
        <v>0</v>
      </c>
      <c r="L32" s="25" t="n">
        <f aca="false">IF(OR($C32="",$C32=0,$E32="",$B32="",$G32=-2),0,$C32*IF($G32=0,IF(IF($F32="",L$4,MIN(L$4,$F32))&lt;$E32,0,MAX(0,INT((IF($F32="",L$4,MIN(L$4,$F32))-$E32)/7)+1-MAX(0,ROUNDUP((L$3-$E32)/7,0)))),IF($G32=101,(AND(EOMONTH(L$3,0)&gt;=MAX(L$3,$E32),EOMONTH(L$3,0)&lt;=IF($F32="",L$4,MIN(L$4,$F32)))*1+AND(EOMONTH(L$4,0)&lt;&gt;EOMONTH(L$3,0),EOMONTH(L$4,0)&gt;=MAX(L$3,$E32),EOMONTH(L$4,0)&lt;=IF($F32="",L$4,MIN(L$4,$F32)))*1),IF($G32=102,(AND(WORKDAY(EOMONTH(L$3,0)+1,-3)&gt;=MAX(L$3,$E32),WORKDAY(EOMONTH(L$3,0)+1,-3)&lt;=IF($F32="",L$4,MIN(L$4,$F32)))*1+AND(WORKDAY(EOMONTH(L$4,0)+1,-3)&lt;&gt;WORKDAY(EOMONTH(L$3,0)+1,-3),WORKDAY(EOMONTH(L$4,0)+1,-3)&gt;=MAX(L$3,$E32),WORKDAY(EOMONTH(L$4,0)+1,-3)&lt;=IF($F32="",L$4,MIN(L$4,$F32)))*1),IF(AND(IF(EDATE($E32,MAX(0,ROUNDUP(((YEAR(L$3)-YEAR($E32))*12+MONTH(L$3)-MONTH($E32))/$G32,0)*$G32))&lt;L$3,EDATE($E32,MAX(0,ROUNDUP(((YEAR(L$3)-YEAR($E32))*12+MONTH(L$3)-MONTH($E32))/$G32,0)*$G32)+$G32),EDATE($E32,MAX(0,ROUNDUP(((YEAR(L$3)-YEAR($E32))*12+MONTH(L$3)-MONTH($E32))/$G32,0)*$G32)))&gt;=L$3,IF(EDATE($E32,MAX(0,ROUNDUP(((YEAR(L$3)-YEAR($E32))*12+MONTH(L$3)-MONTH($E32))/$G32,0)*$G32))&lt;L$3,EDATE($E32,MAX(0,ROUNDUP(((YEAR(L$3)-YEAR($E32))*12+MONTH(L$3)-MONTH($E32))/$G32,0)*$G32)+$G32),EDATE($E32,MAX(0,ROUNDUP(((YEAR(L$3)-YEAR($E32))*12+MONTH(L$3)-MONTH($E32))/$G32,0)*$G32)))&lt;=IF($F32="",L$4,MIN(L$4,$F32))),1,0)))))</f>
        <v>0</v>
      </c>
      <c r="M32" s="25" t="n">
        <f aca="false">IF(OR($C32="",$C32=0,$E32="",$B32="",$G32=-2),0,$C32*IF($G32=0,IF(IF($F32="",M$4,MIN(M$4,$F32))&lt;$E32,0,MAX(0,INT((IF($F32="",M$4,MIN(M$4,$F32))-$E32)/7)+1-MAX(0,ROUNDUP((M$3-$E32)/7,0)))),IF($G32=101,(AND(EOMONTH(M$3,0)&gt;=MAX(M$3,$E32),EOMONTH(M$3,0)&lt;=IF($F32="",M$4,MIN(M$4,$F32)))*1+AND(EOMONTH(M$4,0)&lt;&gt;EOMONTH(M$3,0),EOMONTH(M$4,0)&gt;=MAX(M$3,$E32),EOMONTH(M$4,0)&lt;=IF($F32="",M$4,MIN(M$4,$F32)))*1),IF($G32=102,(AND(WORKDAY(EOMONTH(M$3,0)+1,-3)&gt;=MAX(M$3,$E32),WORKDAY(EOMONTH(M$3,0)+1,-3)&lt;=IF($F32="",M$4,MIN(M$4,$F32)))*1+AND(WORKDAY(EOMONTH(M$4,0)+1,-3)&lt;&gt;WORKDAY(EOMONTH(M$3,0)+1,-3),WORKDAY(EOMONTH(M$4,0)+1,-3)&gt;=MAX(M$3,$E32),WORKDAY(EOMONTH(M$4,0)+1,-3)&lt;=IF($F32="",M$4,MIN(M$4,$F32)))*1),IF(AND(IF(EDATE($E32,MAX(0,ROUNDUP(((YEAR(M$3)-YEAR($E32))*12+MONTH(M$3)-MONTH($E32))/$G32,0)*$G32))&lt;M$3,EDATE($E32,MAX(0,ROUNDUP(((YEAR(M$3)-YEAR($E32))*12+MONTH(M$3)-MONTH($E32))/$G32,0)*$G32)+$G32),EDATE($E32,MAX(0,ROUNDUP(((YEAR(M$3)-YEAR($E32))*12+MONTH(M$3)-MONTH($E32))/$G32,0)*$G32)))&gt;=M$3,IF(EDATE($E32,MAX(0,ROUNDUP(((YEAR(M$3)-YEAR($E32))*12+MONTH(M$3)-MONTH($E32))/$G32,0)*$G32))&lt;M$3,EDATE($E32,MAX(0,ROUNDUP(((YEAR(M$3)-YEAR($E32))*12+MONTH(M$3)-MONTH($E32))/$G32,0)*$G32)+$G32),EDATE($E32,MAX(0,ROUNDUP(((YEAR(M$3)-YEAR($E32))*12+MONTH(M$3)-MONTH($E32))/$G32,0)*$G32)))&lt;=IF($F32="",M$4,MIN(M$4,$F32))),1,0)))))</f>
        <v>0</v>
      </c>
      <c r="N32" s="25" t="n">
        <f aca="false">IF(OR($C32="",$C32=0,$E32="",$B32="",$G32=-2),0,$C32*IF($G32=0,IF(IF($F32="",N$4,MIN(N$4,$F32))&lt;$E32,0,MAX(0,INT((IF($F32="",N$4,MIN(N$4,$F32))-$E32)/7)+1-MAX(0,ROUNDUP((N$3-$E32)/7,0)))),IF($G32=101,(AND(EOMONTH(N$3,0)&gt;=MAX(N$3,$E32),EOMONTH(N$3,0)&lt;=IF($F32="",N$4,MIN(N$4,$F32)))*1+AND(EOMONTH(N$4,0)&lt;&gt;EOMONTH(N$3,0),EOMONTH(N$4,0)&gt;=MAX(N$3,$E32),EOMONTH(N$4,0)&lt;=IF($F32="",N$4,MIN(N$4,$F32)))*1),IF($G32=102,(AND(WORKDAY(EOMONTH(N$3,0)+1,-3)&gt;=MAX(N$3,$E32),WORKDAY(EOMONTH(N$3,0)+1,-3)&lt;=IF($F32="",N$4,MIN(N$4,$F32)))*1+AND(WORKDAY(EOMONTH(N$4,0)+1,-3)&lt;&gt;WORKDAY(EOMONTH(N$3,0)+1,-3),WORKDAY(EOMONTH(N$4,0)+1,-3)&gt;=MAX(N$3,$E32),WORKDAY(EOMONTH(N$4,0)+1,-3)&lt;=IF($F32="",N$4,MIN(N$4,$F32)))*1),IF(AND(IF(EDATE($E32,MAX(0,ROUNDUP(((YEAR(N$3)-YEAR($E32))*12+MONTH(N$3)-MONTH($E32))/$G32,0)*$G32))&lt;N$3,EDATE($E32,MAX(0,ROUNDUP(((YEAR(N$3)-YEAR($E32))*12+MONTH(N$3)-MONTH($E32))/$G32,0)*$G32)+$G32),EDATE($E32,MAX(0,ROUNDUP(((YEAR(N$3)-YEAR($E32))*12+MONTH(N$3)-MONTH($E32))/$G32,0)*$G32)))&gt;=N$3,IF(EDATE($E32,MAX(0,ROUNDUP(((YEAR(N$3)-YEAR($E32))*12+MONTH(N$3)-MONTH($E32))/$G32,0)*$G32))&lt;N$3,EDATE($E32,MAX(0,ROUNDUP(((YEAR(N$3)-YEAR($E32))*12+MONTH(N$3)-MONTH($E32))/$G32,0)*$G32)+$G32),EDATE($E32,MAX(0,ROUNDUP(((YEAR(N$3)-YEAR($E32))*12+MONTH(N$3)-MONTH($E32))/$G32,0)*$G32)))&lt;=IF($F32="",N$4,MIN(N$4,$F32))),1,0)))))</f>
        <v>0</v>
      </c>
      <c r="O32" s="25" t="n">
        <f aca="false">IF(OR($C32="",$C32=0,$E32="",$B32="",$G32=-2),0,$C32*IF($G32=0,IF(IF($F32="",O$4,MIN(O$4,$F32))&lt;$E32,0,MAX(0,INT((IF($F32="",O$4,MIN(O$4,$F32))-$E32)/7)+1-MAX(0,ROUNDUP((O$3-$E32)/7,0)))),IF($G32=101,(AND(EOMONTH(O$3,0)&gt;=MAX(O$3,$E32),EOMONTH(O$3,0)&lt;=IF($F32="",O$4,MIN(O$4,$F32)))*1+AND(EOMONTH(O$4,0)&lt;&gt;EOMONTH(O$3,0),EOMONTH(O$4,0)&gt;=MAX(O$3,$E32),EOMONTH(O$4,0)&lt;=IF($F32="",O$4,MIN(O$4,$F32)))*1),IF($G32=102,(AND(WORKDAY(EOMONTH(O$3,0)+1,-3)&gt;=MAX(O$3,$E32),WORKDAY(EOMONTH(O$3,0)+1,-3)&lt;=IF($F32="",O$4,MIN(O$4,$F32)))*1+AND(WORKDAY(EOMONTH(O$4,0)+1,-3)&lt;&gt;WORKDAY(EOMONTH(O$3,0)+1,-3),WORKDAY(EOMONTH(O$4,0)+1,-3)&gt;=MAX(O$3,$E32),WORKDAY(EOMONTH(O$4,0)+1,-3)&lt;=IF($F32="",O$4,MIN(O$4,$F32)))*1),IF(AND(IF(EDATE($E32,MAX(0,ROUNDUP(((YEAR(O$3)-YEAR($E32))*12+MONTH(O$3)-MONTH($E32))/$G32,0)*$G32))&lt;O$3,EDATE($E32,MAX(0,ROUNDUP(((YEAR(O$3)-YEAR($E32))*12+MONTH(O$3)-MONTH($E32))/$G32,0)*$G32)+$G32),EDATE($E32,MAX(0,ROUNDUP(((YEAR(O$3)-YEAR($E32))*12+MONTH(O$3)-MONTH($E32))/$G32,0)*$G32)))&gt;=O$3,IF(EDATE($E32,MAX(0,ROUNDUP(((YEAR(O$3)-YEAR($E32))*12+MONTH(O$3)-MONTH($E32))/$G32,0)*$G32))&lt;O$3,EDATE($E32,MAX(0,ROUNDUP(((YEAR(O$3)-YEAR($E32))*12+MONTH(O$3)-MONTH($E32))/$G32,0)*$G32)+$G32),EDATE($E32,MAX(0,ROUNDUP(((YEAR(O$3)-YEAR($E32))*12+MONTH(O$3)-MONTH($E32))/$G32,0)*$G32)))&lt;=IF($F32="",O$4,MIN(O$4,$F32))),1,0)))))</f>
        <v>0</v>
      </c>
      <c r="P32" s="25" t="n">
        <f aca="false">IF(OR($C32="",$C32=0,$E32="",$B32="",$G32=-2),0,$C32*IF($G32=0,IF(IF($F32="",P$4,MIN(P$4,$F32))&lt;$E32,0,MAX(0,INT((IF($F32="",P$4,MIN(P$4,$F32))-$E32)/7)+1-MAX(0,ROUNDUP((P$3-$E32)/7,0)))),IF($G32=101,(AND(EOMONTH(P$3,0)&gt;=MAX(P$3,$E32),EOMONTH(P$3,0)&lt;=IF($F32="",P$4,MIN(P$4,$F32)))*1+AND(EOMONTH(P$4,0)&lt;&gt;EOMONTH(P$3,0),EOMONTH(P$4,0)&gt;=MAX(P$3,$E32),EOMONTH(P$4,0)&lt;=IF($F32="",P$4,MIN(P$4,$F32)))*1),IF($G32=102,(AND(WORKDAY(EOMONTH(P$3,0)+1,-3)&gt;=MAX(P$3,$E32),WORKDAY(EOMONTH(P$3,0)+1,-3)&lt;=IF($F32="",P$4,MIN(P$4,$F32)))*1+AND(WORKDAY(EOMONTH(P$4,0)+1,-3)&lt;&gt;WORKDAY(EOMONTH(P$3,0)+1,-3),WORKDAY(EOMONTH(P$4,0)+1,-3)&gt;=MAX(P$3,$E32),WORKDAY(EOMONTH(P$4,0)+1,-3)&lt;=IF($F32="",P$4,MIN(P$4,$F32)))*1),IF(AND(IF(EDATE($E32,MAX(0,ROUNDUP(((YEAR(P$3)-YEAR($E32))*12+MONTH(P$3)-MONTH($E32))/$G32,0)*$G32))&lt;P$3,EDATE($E32,MAX(0,ROUNDUP(((YEAR(P$3)-YEAR($E32))*12+MONTH(P$3)-MONTH($E32))/$G32,0)*$G32)+$G32),EDATE($E32,MAX(0,ROUNDUP(((YEAR(P$3)-YEAR($E32))*12+MONTH(P$3)-MONTH($E32))/$G32,0)*$G32)))&gt;=P$3,IF(EDATE($E32,MAX(0,ROUNDUP(((YEAR(P$3)-YEAR($E32))*12+MONTH(P$3)-MONTH($E32))/$G32,0)*$G32))&lt;P$3,EDATE($E32,MAX(0,ROUNDUP(((YEAR(P$3)-YEAR($E32))*12+MONTH(P$3)-MONTH($E32))/$G32,0)*$G32)+$G32),EDATE($E32,MAX(0,ROUNDUP(((YEAR(P$3)-YEAR($E32))*12+MONTH(P$3)-MONTH($E32))/$G32,0)*$G32)))&lt;=IF($F32="",P$4,MIN(P$4,$F32))),1,0)))))</f>
        <v>0</v>
      </c>
      <c r="Q32" s="25" t="n">
        <f aca="false">IF(OR($C32="",$C32=0,$E32="",$B32="",$G32=-2),0,$C32*IF($G32=0,IF(IF($F32="",Q$4,MIN(Q$4,$F32))&lt;$E32,0,MAX(0,INT((IF($F32="",Q$4,MIN(Q$4,$F32))-$E32)/7)+1-MAX(0,ROUNDUP((Q$3-$E32)/7,0)))),IF($G32=101,(AND(EOMONTH(Q$3,0)&gt;=MAX(Q$3,$E32),EOMONTH(Q$3,0)&lt;=IF($F32="",Q$4,MIN(Q$4,$F32)))*1+AND(EOMONTH(Q$4,0)&lt;&gt;EOMONTH(Q$3,0),EOMONTH(Q$4,0)&gt;=MAX(Q$3,$E32),EOMONTH(Q$4,0)&lt;=IF($F32="",Q$4,MIN(Q$4,$F32)))*1),IF($G32=102,(AND(WORKDAY(EOMONTH(Q$3,0)+1,-3)&gt;=MAX(Q$3,$E32),WORKDAY(EOMONTH(Q$3,0)+1,-3)&lt;=IF($F32="",Q$4,MIN(Q$4,$F32)))*1+AND(WORKDAY(EOMONTH(Q$4,0)+1,-3)&lt;&gt;WORKDAY(EOMONTH(Q$3,0)+1,-3),WORKDAY(EOMONTH(Q$4,0)+1,-3)&gt;=MAX(Q$3,$E32),WORKDAY(EOMONTH(Q$4,0)+1,-3)&lt;=IF($F32="",Q$4,MIN(Q$4,$F32)))*1),IF(AND(IF(EDATE($E32,MAX(0,ROUNDUP(((YEAR(Q$3)-YEAR($E32))*12+MONTH(Q$3)-MONTH($E32))/$G32,0)*$G32))&lt;Q$3,EDATE($E32,MAX(0,ROUNDUP(((YEAR(Q$3)-YEAR($E32))*12+MONTH(Q$3)-MONTH($E32))/$G32,0)*$G32)+$G32),EDATE($E32,MAX(0,ROUNDUP(((YEAR(Q$3)-YEAR($E32))*12+MONTH(Q$3)-MONTH($E32))/$G32,0)*$G32)))&gt;=Q$3,IF(EDATE($E32,MAX(0,ROUNDUP(((YEAR(Q$3)-YEAR($E32))*12+MONTH(Q$3)-MONTH($E32))/$G32,0)*$G32))&lt;Q$3,EDATE($E32,MAX(0,ROUNDUP(((YEAR(Q$3)-YEAR($E32))*12+MONTH(Q$3)-MONTH($E32))/$G32,0)*$G32)+$G32),EDATE($E32,MAX(0,ROUNDUP(((YEAR(Q$3)-YEAR($E32))*12+MONTH(Q$3)-MONTH($E32))/$G32,0)*$G32)))&lt;=IF($F32="",Q$4,MIN(Q$4,$F32))),1,0)))))</f>
        <v>0</v>
      </c>
      <c r="R32" s="25" t="n">
        <f aca="false">IF(OR($C32="",$C32=0,$E32="",$B32="",$G32=-2),0,$C32*IF($G32=0,IF(IF($F32="",R$4,MIN(R$4,$F32))&lt;$E32,0,MAX(0,INT((IF($F32="",R$4,MIN(R$4,$F32))-$E32)/7)+1-MAX(0,ROUNDUP((R$3-$E32)/7,0)))),IF($G32=101,(AND(EOMONTH(R$3,0)&gt;=MAX(R$3,$E32),EOMONTH(R$3,0)&lt;=IF($F32="",R$4,MIN(R$4,$F32)))*1+AND(EOMONTH(R$4,0)&lt;&gt;EOMONTH(R$3,0),EOMONTH(R$4,0)&gt;=MAX(R$3,$E32),EOMONTH(R$4,0)&lt;=IF($F32="",R$4,MIN(R$4,$F32)))*1),IF($G32=102,(AND(WORKDAY(EOMONTH(R$3,0)+1,-3)&gt;=MAX(R$3,$E32),WORKDAY(EOMONTH(R$3,0)+1,-3)&lt;=IF($F32="",R$4,MIN(R$4,$F32)))*1+AND(WORKDAY(EOMONTH(R$4,0)+1,-3)&lt;&gt;WORKDAY(EOMONTH(R$3,0)+1,-3),WORKDAY(EOMONTH(R$4,0)+1,-3)&gt;=MAX(R$3,$E32),WORKDAY(EOMONTH(R$4,0)+1,-3)&lt;=IF($F32="",R$4,MIN(R$4,$F32)))*1),IF(AND(IF(EDATE($E32,MAX(0,ROUNDUP(((YEAR(R$3)-YEAR($E32))*12+MONTH(R$3)-MONTH($E32))/$G32,0)*$G32))&lt;R$3,EDATE($E32,MAX(0,ROUNDUP(((YEAR(R$3)-YEAR($E32))*12+MONTH(R$3)-MONTH($E32))/$G32,0)*$G32)+$G32),EDATE($E32,MAX(0,ROUNDUP(((YEAR(R$3)-YEAR($E32))*12+MONTH(R$3)-MONTH($E32))/$G32,0)*$G32)))&gt;=R$3,IF(EDATE($E32,MAX(0,ROUNDUP(((YEAR(R$3)-YEAR($E32))*12+MONTH(R$3)-MONTH($E32))/$G32,0)*$G32))&lt;R$3,EDATE($E32,MAX(0,ROUNDUP(((YEAR(R$3)-YEAR($E32))*12+MONTH(R$3)-MONTH($E32))/$G32,0)*$G32)+$G32),EDATE($E32,MAX(0,ROUNDUP(((YEAR(R$3)-YEAR($E32))*12+MONTH(R$3)-MONTH($E32))/$G32,0)*$G32)))&lt;=IF($F32="",R$4,MIN(R$4,$F32))),1,0)))))</f>
        <v>0</v>
      </c>
      <c r="S32" s="25" t="n">
        <f aca="false">IF(OR($C32="",$C32=0,$E32="",$B32="",$G32=-2),0,$C32*IF($G32=0,IF(IF($F32="",S$4,MIN(S$4,$F32))&lt;$E32,0,MAX(0,INT((IF($F32="",S$4,MIN(S$4,$F32))-$E32)/7)+1-MAX(0,ROUNDUP((S$3-$E32)/7,0)))),IF($G32=101,(AND(EOMONTH(S$3,0)&gt;=MAX(S$3,$E32),EOMONTH(S$3,0)&lt;=IF($F32="",S$4,MIN(S$4,$F32)))*1+AND(EOMONTH(S$4,0)&lt;&gt;EOMONTH(S$3,0),EOMONTH(S$4,0)&gt;=MAX(S$3,$E32),EOMONTH(S$4,0)&lt;=IF($F32="",S$4,MIN(S$4,$F32)))*1),IF($G32=102,(AND(WORKDAY(EOMONTH(S$3,0)+1,-3)&gt;=MAX(S$3,$E32),WORKDAY(EOMONTH(S$3,0)+1,-3)&lt;=IF($F32="",S$4,MIN(S$4,$F32)))*1+AND(WORKDAY(EOMONTH(S$4,0)+1,-3)&lt;&gt;WORKDAY(EOMONTH(S$3,0)+1,-3),WORKDAY(EOMONTH(S$4,0)+1,-3)&gt;=MAX(S$3,$E32),WORKDAY(EOMONTH(S$4,0)+1,-3)&lt;=IF($F32="",S$4,MIN(S$4,$F32)))*1),IF(AND(IF(EDATE($E32,MAX(0,ROUNDUP(((YEAR(S$3)-YEAR($E32))*12+MONTH(S$3)-MONTH($E32))/$G32,0)*$G32))&lt;S$3,EDATE($E32,MAX(0,ROUNDUP(((YEAR(S$3)-YEAR($E32))*12+MONTH(S$3)-MONTH($E32))/$G32,0)*$G32)+$G32),EDATE($E32,MAX(0,ROUNDUP(((YEAR(S$3)-YEAR($E32))*12+MONTH(S$3)-MONTH($E32))/$G32,0)*$G32)))&gt;=S$3,IF(EDATE($E32,MAX(0,ROUNDUP(((YEAR(S$3)-YEAR($E32))*12+MONTH(S$3)-MONTH($E32))/$G32,0)*$G32))&lt;S$3,EDATE($E32,MAX(0,ROUNDUP(((YEAR(S$3)-YEAR($E32))*12+MONTH(S$3)-MONTH($E32))/$G32,0)*$G32)+$G32),EDATE($E32,MAX(0,ROUNDUP(((YEAR(S$3)-YEAR($E32))*12+MONTH(S$3)-MONTH($E32))/$G32,0)*$G32)))&lt;=IF($F32="",S$4,MIN(S$4,$F32))),1,0)))))</f>
        <v>0</v>
      </c>
      <c r="T32" s="25" t="n">
        <f aca="false">IF(OR($C32="",$C32=0,$E32="",$B32="",$G32=-2),0,$C32*IF($G32=0,IF(IF($F32="",T$4,MIN(T$4,$F32))&lt;$E32,0,MAX(0,INT((IF($F32="",T$4,MIN(T$4,$F32))-$E32)/7)+1-MAX(0,ROUNDUP((T$3-$E32)/7,0)))),IF($G32=101,(AND(EOMONTH(T$3,0)&gt;=MAX(T$3,$E32),EOMONTH(T$3,0)&lt;=IF($F32="",T$4,MIN(T$4,$F32)))*1+AND(EOMONTH(T$4,0)&lt;&gt;EOMONTH(T$3,0),EOMONTH(T$4,0)&gt;=MAX(T$3,$E32),EOMONTH(T$4,0)&lt;=IF($F32="",T$4,MIN(T$4,$F32)))*1),IF($G32=102,(AND(WORKDAY(EOMONTH(T$3,0)+1,-3)&gt;=MAX(T$3,$E32),WORKDAY(EOMONTH(T$3,0)+1,-3)&lt;=IF($F32="",T$4,MIN(T$4,$F32)))*1+AND(WORKDAY(EOMONTH(T$4,0)+1,-3)&lt;&gt;WORKDAY(EOMONTH(T$3,0)+1,-3),WORKDAY(EOMONTH(T$4,0)+1,-3)&gt;=MAX(T$3,$E32),WORKDAY(EOMONTH(T$4,0)+1,-3)&lt;=IF($F32="",T$4,MIN(T$4,$F32)))*1),IF(AND(IF(EDATE($E32,MAX(0,ROUNDUP(((YEAR(T$3)-YEAR($E32))*12+MONTH(T$3)-MONTH($E32))/$G32,0)*$G32))&lt;T$3,EDATE($E32,MAX(0,ROUNDUP(((YEAR(T$3)-YEAR($E32))*12+MONTH(T$3)-MONTH($E32))/$G32,0)*$G32)+$G32),EDATE($E32,MAX(0,ROUNDUP(((YEAR(T$3)-YEAR($E32))*12+MONTH(T$3)-MONTH($E32))/$G32,0)*$G32)))&gt;=T$3,IF(EDATE($E32,MAX(0,ROUNDUP(((YEAR(T$3)-YEAR($E32))*12+MONTH(T$3)-MONTH($E32))/$G32,0)*$G32))&lt;T$3,EDATE($E32,MAX(0,ROUNDUP(((YEAR(T$3)-YEAR($E32))*12+MONTH(T$3)-MONTH($E32))/$G32,0)*$G32)+$G32),EDATE($E32,MAX(0,ROUNDUP(((YEAR(T$3)-YEAR($E32))*12+MONTH(T$3)-MONTH($E32))/$G32,0)*$G32)))&lt;=IF($F32="",T$4,MIN(T$4,$F32))),1,0)))))</f>
        <v>0</v>
      </c>
      <c r="U32" s="25" t="n">
        <f aca="false">IF(OR($C32="",$C32=0,$E32="",$B32="",$G32=-2),0,$C32*IF($G32=0,IF(IF($F32="",U$4,MIN(U$4,$F32))&lt;$E32,0,MAX(0,INT((IF($F32="",U$4,MIN(U$4,$F32))-$E32)/7)+1-MAX(0,ROUNDUP((U$3-$E32)/7,0)))),IF($G32=101,(AND(EOMONTH(U$3,0)&gt;=MAX(U$3,$E32),EOMONTH(U$3,0)&lt;=IF($F32="",U$4,MIN(U$4,$F32)))*1+AND(EOMONTH(U$4,0)&lt;&gt;EOMONTH(U$3,0),EOMONTH(U$4,0)&gt;=MAX(U$3,$E32),EOMONTH(U$4,0)&lt;=IF($F32="",U$4,MIN(U$4,$F32)))*1),IF($G32=102,(AND(WORKDAY(EOMONTH(U$3,0)+1,-3)&gt;=MAX(U$3,$E32),WORKDAY(EOMONTH(U$3,0)+1,-3)&lt;=IF($F32="",U$4,MIN(U$4,$F32)))*1+AND(WORKDAY(EOMONTH(U$4,0)+1,-3)&lt;&gt;WORKDAY(EOMONTH(U$3,0)+1,-3),WORKDAY(EOMONTH(U$4,0)+1,-3)&gt;=MAX(U$3,$E32),WORKDAY(EOMONTH(U$4,0)+1,-3)&lt;=IF($F32="",U$4,MIN(U$4,$F32)))*1),IF(AND(IF(EDATE($E32,MAX(0,ROUNDUP(((YEAR(U$3)-YEAR($E32))*12+MONTH(U$3)-MONTH($E32))/$G32,0)*$G32))&lt;U$3,EDATE($E32,MAX(0,ROUNDUP(((YEAR(U$3)-YEAR($E32))*12+MONTH(U$3)-MONTH($E32))/$G32,0)*$G32)+$G32),EDATE($E32,MAX(0,ROUNDUP(((YEAR(U$3)-YEAR($E32))*12+MONTH(U$3)-MONTH($E32))/$G32,0)*$G32)))&gt;=U$3,IF(EDATE($E32,MAX(0,ROUNDUP(((YEAR(U$3)-YEAR($E32))*12+MONTH(U$3)-MONTH($E32))/$G32,0)*$G32))&lt;U$3,EDATE($E32,MAX(0,ROUNDUP(((YEAR(U$3)-YEAR($E32))*12+MONTH(U$3)-MONTH($E32))/$G32,0)*$G32)+$G32),EDATE($E32,MAX(0,ROUNDUP(((YEAR(U$3)-YEAR($E32))*12+MONTH(U$3)-MONTH($E32))/$G32,0)*$G32)))&lt;=IF($F32="",U$4,MIN(U$4,$F32))),1,0)))))</f>
        <v>0</v>
      </c>
      <c r="V32" s="25" t="n">
        <f aca="false">IF(OR($C32="",$C32=0,$E32="",$B32="",$G32=-2),0,$C32*IF($G32=0,IF(IF($F32="",V$4,MIN(V$4,$F32))&lt;$E32,0,MAX(0,INT((IF($F32="",V$4,MIN(V$4,$F32))-$E32)/7)+1-MAX(0,ROUNDUP((V$3-$E32)/7,0)))),IF($G32=101,(AND(EOMONTH(V$3,0)&gt;=MAX(V$3,$E32),EOMONTH(V$3,0)&lt;=IF($F32="",V$4,MIN(V$4,$F32)))*1+AND(EOMONTH(V$4,0)&lt;&gt;EOMONTH(V$3,0),EOMONTH(V$4,0)&gt;=MAX(V$3,$E32),EOMONTH(V$4,0)&lt;=IF($F32="",V$4,MIN(V$4,$F32)))*1),IF($G32=102,(AND(WORKDAY(EOMONTH(V$3,0)+1,-3)&gt;=MAX(V$3,$E32),WORKDAY(EOMONTH(V$3,0)+1,-3)&lt;=IF($F32="",V$4,MIN(V$4,$F32)))*1+AND(WORKDAY(EOMONTH(V$4,0)+1,-3)&lt;&gt;WORKDAY(EOMONTH(V$3,0)+1,-3),WORKDAY(EOMONTH(V$4,0)+1,-3)&gt;=MAX(V$3,$E32),WORKDAY(EOMONTH(V$4,0)+1,-3)&lt;=IF($F32="",V$4,MIN(V$4,$F32)))*1),IF(AND(IF(EDATE($E32,MAX(0,ROUNDUP(((YEAR(V$3)-YEAR($E32))*12+MONTH(V$3)-MONTH($E32))/$G32,0)*$G32))&lt;V$3,EDATE($E32,MAX(0,ROUNDUP(((YEAR(V$3)-YEAR($E32))*12+MONTH(V$3)-MONTH($E32))/$G32,0)*$G32)+$G32),EDATE($E32,MAX(0,ROUNDUP(((YEAR(V$3)-YEAR($E32))*12+MONTH(V$3)-MONTH($E32))/$G32,0)*$G32)))&gt;=V$3,IF(EDATE($E32,MAX(0,ROUNDUP(((YEAR(V$3)-YEAR($E32))*12+MONTH(V$3)-MONTH($E32))/$G32,0)*$G32))&lt;V$3,EDATE($E32,MAX(0,ROUNDUP(((YEAR(V$3)-YEAR($E32))*12+MONTH(V$3)-MONTH($E32))/$G32,0)*$G32)+$G32),EDATE($E32,MAX(0,ROUNDUP(((YEAR(V$3)-YEAR($E32))*12+MONTH(V$3)-MONTH($E32))/$G32,0)*$G32)))&lt;=IF($F32="",V$4,MIN(V$4,$F32))),1,0)))))</f>
        <v>0</v>
      </c>
      <c r="W32" s="25" t="n">
        <f aca="false">IF(OR($C32="",$C32=0,$E32="",$B32="",$G32=-2),0,$C32*IF($G32=0,IF(IF($F32="",W$4,MIN(W$4,$F32))&lt;$E32,0,MAX(0,INT((IF($F32="",W$4,MIN(W$4,$F32))-$E32)/7)+1-MAX(0,ROUNDUP((W$3-$E32)/7,0)))),IF($G32=101,(AND(EOMONTH(W$3,0)&gt;=MAX(W$3,$E32),EOMONTH(W$3,0)&lt;=IF($F32="",W$4,MIN(W$4,$F32)))*1+AND(EOMONTH(W$4,0)&lt;&gt;EOMONTH(W$3,0),EOMONTH(W$4,0)&gt;=MAX(W$3,$E32),EOMONTH(W$4,0)&lt;=IF($F32="",W$4,MIN(W$4,$F32)))*1),IF($G32=102,(AND(WORKDAY(EOMONTH(W$3,0)+1,-3)&gt;=MAX(W$3,$E32),WORKDAY(EOMONTH(W$3,0)+1,-3)&lt;=IF($F32="",W$4,MIN(W$4,$F32)))*1+AND(WORKDAY(EOMONTH(W$4,0)+1,-3)&lt;&gt;WORKDAY(EOMONTH(W$3,0)+1,-3),WORKDAY(EOMONTH(W$4,0)+1,-3)&gt;=MAX(W$3,$E32),WORKDAY(EOMONTH(W$4,0)+1,-3)&lt;=IF($F32="",W$4,MIN(W$4,$F32)))*1),IF(AND(IF(EDATE($E32,MAX(0,ROUNDUP(((YEAR(W$3)-YEAR($E32))*12+MONTH(W$3)-MONTH($E32))/$G32,0)*$G32))&lt;W$3,EDATE($E32,MAX(0,ROUNDUP(((YEAR(W$3)-YEAR($E32))*12+MONTH(W$3)-MONTH($E32))/$G32,0)*$G32)+$G32),EDATE($E32,MAX(0,ROUNDUP(((YEAR(W$3)-YEAR($E32))*12+MONTH(W$3)-MONTH($E32))/$G32,0)*$G32)))&gt;=W$3,IF(EDATE($E32,MAX(0,ROUNDUP(((YEAR(W$3)-YEAR($E32))*12+MONTH(W$3)-MONTH($E32))/$G32,0)*$G32))&lt;W$3,EDATE($E32,MAX(0,ROUNDUP(((YEAR(W$3)-YEAR($E32))*12+MONTH(W$3)-MONTH($E32))/$G32,0)*$G32)+$G32),EDATE($E32,MAX(0,ROUNDUP(((YEAR(W$3)-YEAR($E32))*12+MONTH(W$3)-MONTH($E32))/$G32,0)*$G32)))&lt;=IF($F32="",W$4,MIN(W$4,$F32))),1,0)))))</f>
        <v>0</v>
      </c>
      <c r="X32" s="25" t="n">
        <f aca="false">IF(OR($C32="",$C32=0,$E32="",$B32="",$G32=-2),0,$C32*IF($G32=0,IF(IF($F32="",X$4,MIN(X$4,$F32))&lt;$E32,0,MAX(0,INT((IF($F32="",X$4,MIN(X$4,$F32))-$E32)/7)+1-MAX(0,ROUNDUP((X$3-$E32)/7,0)))),IF($G32=101,(AND(EOMONTH(X$3,0)&gt;=MAX(X$3,$E32),EOMONTH(X$3,0)&lt;=IF($F32="",X$4,MIN(X$4,$F32)))*1+AND(EOMONTH(X$4,0)&lt;&gt;EOMONTH(X$3,0),EOMONTH(X$4,0)&gt;=MAX(X$3,$E32),EOMONTH(X$4,0)&lt;=IF($F32="",X$4,MIN(X$4,$F32)))*1),IF($G32=102,(AND(WORKDAY(EOMONTH(X$3,0)+1,-3)&gt;=MAX(X$3,$E32),WORKDAY(EOMONTH(X$3,0)+1,-3)&lt;=IF($F32="",X$4,MIN(X$4,$F32)))*1+AND(WORKDAY(EOMONTH(X$4,0)+1,-3)&lt;&gt;WORKDAY(EOMONTH(X$3,0)+1,-3),WORKDAY(EOMONTH(X$4,0)+1,-3)&gt;=MAX(X$3,$E32),WORKDAY(EOMONTH(X$4,0)+1,-3)&lt;=IF($F32="",X$4,MIN(X$4,$F32)))*1),IF(AND(IF(EDATE($E32,MAX(0,ROUNDUP(((YEAR(X$3)-YEAR($E32))*12+MONTH(X$3)-MONTH($E32))/$G32,0)*$G32))&lt;X$3,EDATE($E32,MAX(0,ROUNDUP(((YEAR(X$3)-YEAR($E32))*12+MONTH(X$3)-MONTH($E32))/$G32,0)*$G32)+$G32),EDATE($E32,MAX(0,ROUNDUP(((YEAR(X$3)-YEAR($E32))*12+MONTH(X$3)-MONTH($E32))/$G32,0)*$G32)))&gt;=X$3,IF(EDATE($E32,MAX(0,ROUNDUP(((YEAR(X$3)-YEAR($E32))*12+MONTH(X$3)-MONTH($E32))/$G32,0)*$G32))&lt;X$3,EDATE($E32,MAX(0,ROUNDUP(((YEAR(X$3)-YEAR($E32))*12+MONTH(X$3)-MONTH($E32))/$G32,0)*$G32)+$G32),EDATE($E32,MAX(0,ROUNDUP(((YEAR(X$3)-YEAR($E32))*12+MONTH(X$3)-MONTH($E32))/$G32,0)*$G32)))&lt;=IF($F32="",X$4,MIN(X$4,$F32))),1,0)))))</f>
        <v>0</v>
      </c>
      <c r="Y32" s="25" t="n">
        <f aca="false">IF(OR($C32="",$C32=0,$E32="",$B32="",$G32=-2),0,$C32*IF($G32=0,IF(IF($F32="",Y$4,MIN(Y$4,$F32))&lt;$E32,0,MAX(0,INT((IF($F32="",Y$4,MIN(Y$4,$F32))-$E32)/7)+1-MAX(0,ROUNDUP((Y$3-$E32)/7,0)))),IF($G32=101,(AND(EOMONTH(Y$3,0)&gt;=MAX(Y$3,$E32),EOMONTH(Y$3,0)&lt;=IF($F32="",Y$4,MIN(Y$4,$F32)))*1+AND(EOMONTH(Y$4,0)&lt;&gt;EOMONTH(Y$3,0),EOMONTH(Y$4,0)&gt;=MAX(Y$3,$E32),EOMONTH(Y$4,0)&lt;=IF($F32="",Y$4,MIN(Y$4,$F32)))*1),IF($G32=102,(AND(WORKDAY(EOMONTH(Y$3,0)+1,-3)&gt;=MAX(Y$3,$E32),WORKDAY(EOMONTH(Y$3,0)+1,-3)&lt;=IF($F32="",Y$4,MIN(Y$4,$F32)))*1+AND(WORKDAY(EOMONTH(Y$4,0)+1,-3)&lt;&gt;WORKDAY(EOMONTH(Y$3,0)+1,-3),WORKDAY(EOMONTH(Y$4,0)+1,-3)&gt;=MAX(Y$3,$E32),WORKDAY(EOMONTH(Y$4,0)+1,-3)&lt;=IF($F32="",Y$4,MIN(Y$4,$F32)))*1),IF(AND(IF(EDATE($E32,MAX(0,ROUNDUP(((YEAR(Y$3)-YEAR($E32))*12+MONTH(Y$3)-MONTH($E32))/$G32,0)*$G32))&lt;Y$3,EDATE($E32,MAX(0,ROUNDUP(((YEAR(Y$3)-YEAR($E32))*12+MONTH(Y$3)-MONTH($E32))/$G32,0)*$G32)+$G32),EDATE($E32,MAX(0,ROUNDUP(((YEAR(Y$3)-YEAR($E32))*12+MONTH(Y$3)-MONTH($E32))/$G32,0)*$G32)))&gt;=Y$3,IF(EDATE($E32,MAX(0,ROUNDUP(((YEAR(Y$3)-YEAR($E32))*12+MONTH(Y$3)-MONTH($E32))/$G32,0)*$G32))&lt;Y$3,EDATE($E32,MAX(0,ROUNDUP(((YEAR(Y$3)-YEAR($E32))*12+MONTH(Y$3)-MONTH($E32))/$G32,0)*$G32)+$G32),EDATE($E32,MAX(0,ROUNDUP(((YEAR(Y$3)-YEAR($E32))*12+MONTH(Y$3)-MONTH($E32))/$G32,0)*$G32)))&lt;=IF($F32="",Y$4,MIN(Y$4,$F32))),1,0)))))</f>
        <v>0</v>
      </c>
      <c r="Z32" s="25" t="n">
        <f aca="false">IF(OR($C32="",$C32=0,$E32="",$B32="",$G32=-2),0,$C32*IF($G32=0,IF(IF($F32="",Z$4,MIN(Z$4,$F32))&lt;$E32,0,MAX(0,INT((IF($F32="",Z$4,MIN(Z$4,$F32))-$E32)/7)+1-MAX(0,ROUNDUP((Z$3-$E32)/7,0)))),IF($G32=101,(AND(EOMONTH(Z$3,0)&gt;=MAX(Z$3,$E32),EOMONTH(Z$3,0)&lt;=IF($F32="",Z$4,MIN(Z$4,$F32)))*1+AND(EOMONTH(Z$4,0)&lt;&gt;EOMONTH(Z$3,0),EOMONTH(Z$4,0)&gt;=MAX(Z$3,$E32),EOMONTH(Z$4,0)&lt;=IF($F32="",Z$4,MIN(Z$4,$F32)))*1),IF($G32=102,(AND(WORKDAY(EOMONTH(Z$3,0)+1,-3)&gt;=MAX(Z$3,$E32),WORKDAY(EOMONTH(Z$3,0)+1,-3)&lt;=IF($F32="",Z$4,MIN(Z$4,$F32)))*1+AND(WORKDAY(EOMONTH(Z$4,0)+1,-3)&lt;&gt;WORKDAY(EOMONTH(Z$3,0)+1,-3),WORKDAY(EOMONTH(Z$4,0)+1,-3)&gt;=MAX(Z$3,$E32),WORKDAY(EOMONTH(Z$4,0)+1,-3)&lt;=IF($F32="",Z$4,MIN(Z$4,$F32)))*1),IF(AND(IF(EDATE($E32,MAX(0,ROUNDUP(((YEAR(Z$3)-YEAR($E32))*12+MONTH(Z$3)-MONTH($E32))/$G32,0)*$G32))&lt;Z$3,EDATE($E32,MAX(0,ROUNDUP(((YEAR(Z$3)-YEAR($E32))*12+MONTH(Z$3)-MONTH($E32))/$G32,0)*$G32)+$G32),EDATE($E32,MAX(0,ROUNDUP(((YEAR(Z$3)-YEAR($E32))*12+MONTH(Z$3)-MONTH($E32))/$G32,0)*$G32)))&gt;=Z$3,IF(EDATE($E32,MAX(0,ROUNDUP(((YEAR(Z$3)-YEAR($E32))*12+MONTH(Z$3)-MONTH($E32))/$G32,0)*$G32))&lt;Z$3,EDATE($E32,MAX(0,ROUNDUP(((YEAR(Z$3)-YEAR($E32))*12+MONTH(Z$3)-MONTH($E32))/$G32,0)*$G32)+$G32),EDATE($E32,MAX(0,ROUNDUP(((YEAR(Z$3)-YEAR($E32))*12+MONTH(Z$3)-MONTH($E32))/$G32,0)*$G32)))&lt;=IF($F32="",Z$4,MIN(Z$4,$F32))),1,0)))))</f>
        <v>0</v>
      </c>
      <c r="AA32" s="25" t="n">
        <f aca="false">IF(OR($C32="",$C32=0,$E32="",$B32="",$G32=-2),0,$C32*IF($G32=0,IF(IF($F32="",AA$4,MIN(AA$4,$F32))&lt;$E32,0,MAX(0,INT((IF($F32="",AA$4,MIN(AA$4,$F32))-$E32)/7)+1-MAX(0,ROUNDUP((AA$3-$E32)/7,0)))),IF($G32=101,(AND(EOMONTH(AA$3,0)&gt;=MAX(AA$3,$E32),EOMONTH(AA$3,0)&lt;=IF($F32="",AA$4,MIN(AA$4,$F32)))*1+AND(EOMONTH(AA$4,0)&lt;&gt;EOMONTH(AA$3,0),EOMONTH(AA$4,0)&gt;=MAX(AA$3,$E32),EOMONTH(AA$4,0)&lt;=IF($F32="",AA$4,MIN(AA$4,$F32)))*1),IF($G32=102,(AND(WORKDAY(EOMONTH(AA$3,0)+1,-3)&gt;=MAX(AA$3,$E32),WORKDAY(EOMONTH(AA$3,0)+1,-3)&lt;=IF($F32="",AA$4,MIN(AA$4,$F32)))*1+AND(WORKDAY(EOMONTH(AA$4,0)+1,-3)&lt;&gt;WORKDAY(EOMONTH(AA$3,0)+1,-3),WORKDAY(EOMONTH(AA$4,0)+1,-3)&gt;=MAX(AA$3,$E32),WORKDAY(EOMONTH(AA$4,0)+1,-3)&lt;=IF($F32="",AA$4,MIN(AA$4,$F32)))*1),IF(AND(IF(EDATE($E32,MAX(0,ROUNDUP(((YEAR(AA$3)-YEAR($E32))*12+MONTH(AA$3)-MONTH($E32))/$G32,0)*$G32))&lt;AA$3,EDATE($E32,MAX(0,ROUNDUP(((YEAR(AA$3)-YEAR($E32))*12+MONTH(AA$3)-MONTH($E32))/$G32,0)*$G32)+$G32),EDATE($E32,MAX(0,ROUNDUP(((YEAR(AA$3)-YEAR($E32))*12+MONTH(AA$3)-MONTH($E32))/$G32,0)*$G32)))&gt;=AA$3,IF(EDATE($E32,MAX(0,ROUNDUP(((YEAR(AA$3)-YEAR($E32))*12+MONTH(AA$3)-MONTH($E32))/$G32,0)*$G32))&lt;AA$3,EDATE($E32,MAX(0,ROUNDUP(((YEAR(AA$3)-YEAR($E32))*12+MONTH(AA$3)-MONTH($E32))/$G32,0)*$G32)+$G32),EDATE($E32,MAX(0,ROUNDUP(((YEAR(AA$3)-YEAR($E32))*12+MONTH(AA$3)-MONTH($E32))/$G32,0)*$G32)))&lt;=IF($F32="",AA$4,MIN(AA$4,$F32))),1,0)))))</f>
        <v>0</v>
      </c>
      <c r="AB32" s="25" t="n">
        <f aca="false">IF(OR($C32="",$C32=0,$E32="",$B32="",$G32=-2),0,$C32*IF($G32=0,IF(IF($F32="",AB$4,MIN(AB$4,$F32))&lt;$E32,0,MAX(0,INT((IF($F32="",AB$4,MIN(AB$4,$F32))-$E32)/7)+1-MAX(0,ROUNDUP((AB$3-$E32)/7,0)))),IF($G32=101,(AND(EOMONTH(AB$3,0)&gt;=MAX(AB$3,$E32),EOMONTH(AB$3,0)&lt;=IF($F32="",AB$4,MIN(AB$4,$F32)))*1+AND(EOMONTH(AB$4,0)&lt;&gt;EOMONTH(AB$3,0),EOMONTH(AB$4,0)&gt;=MAX(AB$3,$E32),EOMONTH(AB$4,0)&lt;=IF($F32="",AB$4,MIN(AB$4,$F32)))*1),IF($G32=102,(AND(WORKDAY(EOMONTH(AB$3,0)+1,-3)&gt;=MAX(AB$3,$E32),WORKDAY(EOMONTH(AB$3,0)+1,-3)&lt;=IF($F32="",AB$4,MIN(AB$4,$F32)))*1+AND(WORKDAY(EOMONTH(AB$4,0)+1,-3)&lt;&gt;WORKDAY(EOMONTH(AB$3,0)+1,-3),WORKDAY(EOMONTH(AB$4,0)+1,-3)&gt;=MAX(AB$3,$E32),WORKDAY(EOMONTH(AB$4,0)+1,-3)&lt;=IF($F32="",AB$4,MIN(AB$4,$F32)))*1),IF(AND(IF(EDATE($E32,MAX(0,ROUNDUP(((YEAR(AB$3)-YEAR($E32))*12+MONTH(AB$3)-MONTH($E32))/$G32,0)*$G32))&lt;AB$3,EDATE($E32,MAX(0,ROUNDUP(((YEAR(AB$3)-YEAR($E32))*12+MONTH(AB$3)-MONTH($E32))/$G32,0)*$G32)+$G32),EDATE($E32,MAX(0,ROUNDUP(((YEAR(AB$3)-YEAR($E32))*12+MONTH(AB$3)-MONTH($E32))/$G32,0)*$G32)))&gt;=AB$3,IF(EDATE($E32,MAX(0,ROUNDUP(((YEAR(AB$3)-YEAR($E32))*12+MONTH(AB$3)-MONTH($E32))/$G32,0)*$G32))&lt;AB$3,EDATE($E32,MAX(0,ROUNDUP(((YEAR(AB$3)-YEAR($E32))*12+MONTH(AB$3)-MONTH($E32))/$G32,0)*$G32)+$G32),EDATE($E32,MAX(0,ROUNDUP(((YEAR(AB$3)-YEAR($E32))*12+MONTH(AB$3)-MONTH($E32))/$G32,0)*$G32)))&lt;=IF($F32="",AB$4,MIN(AB$4,$F32))),1,0)))))</f>
        <v>0</v>
      </c>
      <c r="AC32" s="25" t="n">
        <f aca="false">IF(OR($C32="",$C32=0,$E32="",$B32="",$G32=-2),0,$C32*IF($G32=0,IF(IF($F32="",AC$4,MIN(AC$4,$F32))&lt;$E32,0,MAX(0,INT((IF($F32="",AC$4,MIN(AC$4,$F32))-$E32)/7)+1-MAX(0,ROUNDUP((AC$3-$E32)/7,0)))),IF($G32=101,(AND(EOMONTH(AC$3,0)&gt;=MAX(AC$3,$E32),EOMONTH(AC$3,0)&lt;=IF($F32="",AC$4,MIN(AC$4,$F32)))*1+AND(EOMONTH(AC$4,0)&lt;&gt;EOMONTH(AC$3,0),EOMONTH(AC$4,0)&gt;=MAX(AC$3,$E32),EOMONTH(AC$4,0)&lt;=IF($F32="",AC$4,MIN(AC$4,$F32)))*1),IF($G32=102,(AND(WORKDAY(EOMONTH(AC$3,0)+1,-3)&gt;=MAX(AC$3,$E32),WORKDAY(EOMONTH(AC$3,0)+1,-3)&lt;=IF($F32="",AC$4,MIN(AC$4,$F32)))*1+AND(WORKDAY(EOMONTH(AC$4,0)+1,-3)&lt;&gt;WORKDAY(EOMONTH(AC$3,0)+1,-3),WORKDAY(EOMONTH(AC$4,0)+1,-3)&gt;=MAX(AC$3,$E32),WORKDAY(EOMONTH(AC$4,0)+1,-3)&lt;=IF($F32="",AC$4,MIN(AC$4,$F32)))*1),IF(AND(IF(EDATE($E32,MAX(0,ROUNDUP(((YEAR(AC$3)-YEAR($E32))*12+MONTH(AC$3)-MONTH($E32))/$G32,0)*$G32))&lt;AC$3,EDATE($E32,MAX(0,ROUNDUP(((YEAR(AC$3)-YEAR($E32))*12+MONTH(AC$3)-MONTH($E32))/$G32,0)*$G32)+$G32),EDATE($E32,MAX(0,ROUNDUP(((YEAR(AC$3)-YEAR($E32))*12+MONTH(AC$3)-MONTH($E32))/$G32,0)*$G32)))&gt;=AC$3,IF(EDATE($E32,MAX(0,ROUNDUP(((YEAR(AC$3)-YEAR($E32))*12+MONTH(AC$3)-MONTH($E32))/$G32,0)*$G32))&lt;AC$3,EDATE($E32,MAX(0,ROUNDUP(((YEAR(AC$3)-YEAR($E32))*12+MONTH(AC$3)-MONTH($E32))/$G32,0)*$G32)+$G32),EDATE($E32,MAX(0,ROUNDUP(((YEAR(AC$3)-YEAR($E32))*12+MONTH(AC$3)-MONTH($E32))/$G32,0)*$G32)))&lt;=IF($F32="",AC$4,MIN(AC$4,$F32))),1,0)))))</f>
        <v>0</v>
      </c>
      <c r="AD32" s="25" t="n">
        <f aca="false">IF(OR($C32="",$C32=0,$E32="",$B32="",$G32=-2),0,$C32*IF($G32=0,IF(IF($F32="",AD$4,MIN(AD$4,$F32))&lt;$E32,0,MAX(0,INT((IF($F32="",AD$4,MIN(AD$4,$F32))-$E32)/7)+1-MAX(0,ROUNDUP((AD$3-$E32)/7,0)))),IF($G32=101,(AND(EOMONTH(AD$3,0)&gt;=MAX(AD$3,$E32),EOMONTH(AD$3,0)&lt;=IF($F32="",AD$4,MIN(AD$4,$F32)))*1+AND(EOMONTH(AD$4,0)&lt;&gt;EOMONTH(AD$3,0),EOMONTH(AD$4,0)&gt;=MAX(AD$3,$E32),EOMONTH(AD$4,0)&lt;=IF($F32="",AD$4,MIN(AD$4,$F32)))*1),IF($G32=102,(AND(WORKDAY(EOMONTH(AD$3,0)+1,-3)&gt;=MAX(AD$3,$E32),WORKDAY(EOMONTH(AD$3,0)+1,-3)&lt;=IF($F32="",AD$4,MIN(AD$4,$F32)))*1+AND(WORKDAY(EOMONTH(AD$4,0)+1,-3)&lt;&gt;WORKDAY(EOMONTH(AD$3,0)+1,-3),WORKDAY(EOMONTH(AD$4,0)+1,-3)&gt;=MAX(AD$3,$E32),WORKDAY(EOMONTH(AD$4,0)+1,-3)&lt;=IF($F32="",AD$4,MIN(AD$4,$F32)))*1),IF(AND(IF(EDATE($E32,MAX(0,ROUNDUP(((YEAR(AD$3)-YEAR($E32))*12+MONTH(AD$3)-MONTH($E32))/$G32,0)*$G32))&lt;AD$3,EDATE($E32,MAX(0,ROUNDUP(((YEAR(AD$3)-YEAR($E32))*12+MONTH(AD$3)-MONTH($E32))/$G32,0)*$G32)+$G32),EDATE($E32,MAX(0,ROUNDUP(((YEAR(AD$3)-YEAR($E32))*12+MONTH(AD$3)-MONTH($E32))/$G32,0)*$G32)))&gt;=AD$3,IF(EDATE($E32,MAX(0,ROUNDUP(((YEAR(AD$3)-YEAR($E32))*12+MONTH(AD$3)-MONTH($E32))/$G32,0)*$G32))&lt;AD$3,EDATE($E32,MAX(0,ROUNDUP(((YEAR(AD$3)-YEAR($E32))*12+MONTH(AD$3)-MONTH($E32))/$G32,0)*$G32)+$G32),EDATE($E32,MAX(0,ROUNDUP(((YEAR(AD$3)-YEAR($E32))*12+MONTH(AD$3)-MONTH($E32))/$G32,0)*$G32)))&lt;=IF($F32="",AD$4,MIN(AD$4,$F32))),1,0)))))</f>
        <v>0</v>
      </c>
      <c r="AE32" s="25" t="n">
        <f aca="false">IF(OR($C32="",$C32=0,$E32="",$B32="",$G32=-2),0,$C32*IF($G32=0,IF(IF($F32="",AE$4,MIN(AE$4,$F32))&lt;$E32,0,MAX(0,INT((IF($F32="",AE$4,MIN(AE$4,$F32))-$E32)/7)+1-MAX(0,ROUNDUP((AE$3-$E32)/7,0)))),IF($G32=101,(AND(EOMONTH(AE$3,0)&gt;=MAX(AE$3,$E32),EOMONTH(AE$3,0)&lt;=IF($F32="",AE$4,MIN(AE$4,$F32)))*1+AND(EOMONTH(AE$4,0)&lt;&gt;EOMONTH(AE$3,0),EOMONTH(AE$4,0)&gt;=MAX(AE$3,$E32),EOMONTH(AE$4,0)&lt;=IF($F32="",AE$4,MIN(AE$4,$F32)))*1),IF($G32=102,(AND(WORKDAY(EOMONTH(AE$3,0)+1,-3)&gt;=MAX(AE$3,$E32),WORKDAY(EOMONTH(AE$3,0)+1,-3)&lt;=IF($F32="",AE$4,MIN(AE$4,$F32)))*1+AND(WORKDAY(EOMONTH(AE$4,0)+1,-3)&lt;&gt;WORKDAY(EOMONTH(AE$3,0)+1,-3),WORKDAY(EOMONTH(AE$4,0)+1,-3)&gt;=MAX(AE$3,$E32),WORKDAY(EOMONTH(AE$4,0)+1,-3)&lt;=IF($F32="",AE$4,MIN(AE$4,$F32)))*1),IF(AND(IF(EDATE($E32,MAX(0,ROUNDUP(((YEAR(AE$3)-YEAR($E32))*12+MONTH(AE$3)-MONTH($E32))/$G32,0)*$G32))&lt;AE$3,EDATE($E32,MAX(0,ROUNDUP(((YEAR(AE$3)-YEAR($E32))*12+MONTH(AE$3)-MONTH($E32))/$G32,0)*$G32)+$G32),EDATE($E32,MAX(0,ROUNDUP(((YEAR(AE$3)-YEAR($E32))*12+MONTH(AE$3)-MONTH($E32))/$G32,0)*$G32)))&gt;=AE$3,IF(EDATE($E32,MAX(0,ROUNDUP(((YEAR(AE$3)-YEAR($E32))*12+MONTH(AE$3)-MONTH($E32))/$G32,0)*$G32))&lt;AE$3,EDATE($E32,MAX(0,ROUNDUP(((YEAR(AE$3)-YEAR($E32))*12+MONTH(AE$3)-MONTH($E32))/$G32,0)*$G32)+$G32),EDATE($E32,MAX(0,ROUNDUP(((YEAR(AE$3)-YEAR($E32))*12+MONTH(AE$3)-MONTH($E32))/$G32,0)*$G32)))&lt;=IF($F32="",AE$4,MIN(AE$4,$F32))),1,0)))))</f>
        <v>0</v>
      </c>
      <c r="AF32" s="25" t="n">
        <f aca="false">IF(OR($C32="",$C32=0,$E32="",$B32="",$G32=-2),0,$C32*IF($G32=0,IF(IF($F32="",AF$4,MIN(AF$4,$F32))&lt;$E32,0,MAX(0,INT((IF($F32="",AF$4,MIN(AF$4,$F32))-$E32)/7)+1-MAX(0,ROUNDUP((AF$3-$E32)/7,0)))),IF($G32=101,(AND(EOMONTH(AF$3,0)&gt;=MAX(AF$3,$E32),EOMONTH(AF$3,0)&lt;=IF($F32="",AF$4,MIN(AF$4,$F32)))*1+AND(EOMONTH(AF$4,0)&lt;&gt;EOMONTH(AF$3,0),EOMONTH(AF$4,0)&gt;=MAX(AF$3,$E32),EOMONTH(AF$4,0)&lt;=IF($F32="",AF$4,MIN(AF$4,$F32)))*1),IF($G32=102,(AND(WORKDAY(EOMONTH(AF$3,0)+1,-3)&gt;=MAX(AF$3,$E32),WORKDAY(EOMONTH(AF$3,0)+1,-3)&lt;=IF($F32="",AF$4,MIN(AF$4,$F32)))*1+AND(WORKDAY(EOMONTH(AF$4,0)+1,-3)&lt;&gt;WORKDAY(EOMONTH(AF$3,0)+1,-3),WORKDAY(EOMONTH(AF$4,0)+1,-3)&gt;=MAX(AF$3,$E32),WORKDAY(EOMONTH(AF$4,0)+1,-3)&lt;=IF($F32="",AF$4,MIN(AF$4,$F32)))*1),IF(AND(IF(EDATE($E32,MAX(0,ROUNDUP(((YEAR(AF$3)-YEAR($E32))*12+MONTH(AF$3)-MONTH($E32))/$G32,0)*$G32))&lt;AF$3,EDATE($E32,MAX(0,ROUNDUP(((YEAR(AF$3)-YEAR($E32))*12+MONTH(AF$3)-MONTH($E32))/$G32,0)*$G32)+$G32),EDATE($E32,MAX(0,ROUNDUP(((YEAR(AF$3)-YEAR($E32))*12+MONTH(AF$3)-MONTH($E32))/$G32,0)*$G32)))&gt;=AF$3,IF(EDATE($E32,MAX(0,ROUNDUP(((YEAR(AF$3)-YEAR($E32))*12+MONTH(AF$3)-MONTH($E32))/$G32,0)*$G32))&lt;AF$3,EDATE($E32,MAX(0,ROUNDUP(((YEAR(AF$3)-YEAR($E32))*12+MONTH(AF$3)-MONTH($E32))/$G32,0)*$G32)+$G32),EDATE($E32,MAX(0,ROUNDUP(((YEAR(AF$3)-YEAR($E32))*12+MONTH(AF$3)-MONTH($E32))/$G32,0)*$G32)))&lt;=IF($F32="",AF$4,MIN(AF$4,$F32))),1,0)))))</f>
        <v>0</v>
      </c>
    </row>
    <row r="33" customFormat="false" ht="15" hidden="false" customHeight="false" outlineLevel="0" collapsed="false">
      <c r="A33" s="5"/>
      <c r="B33" s="5"/>
      <c r="C33" s="8"/>
      <c r="D33" s="5"/>
      <c r="E33" s="7"/>
      <c r="F33" s="7"/>
      <c r="G33" s="24" t="n">
        <f aca="false">IFERROR(INDEX(Listen!$E$2:$E$8,MATCH(D33,Listen!$D$2:$D$8,0)),-2)</f>
        <v>-2</v>
      </c>
      <c r="H33" s="25" t="n">
        <f aca="false">IF(OR($C33="",$C33=0,$E33="",$B33="",$G33=-2),0,$C33*IF($G33=0,IF(IF($F33="",H$4,MIN(H$4,$F33))&lt;$E33,0,MAX(0,INT((IF($F33="",H$4,MIN(H$4,$F33))-$E33)/7)+1-MAX(0,ROUNDUP((H$3-$E33)/7,0)))),IF($G33=101,(AND(EOMONTH(H$3,0)&gt;=MAX(H$3,$E33),EOMONTH(H$3,0)&lt;=IF($F33="",H$4,MIN(H$4,$F33)))*1+AND(EOMONTH(H$4,0)&lt;&gt;EOMONTH(H$3,0),EOMONTH(H$4,0)&gt;=MAX(H$3,$E33),EOMONTH(H$4,0)&lt;=IF($F33="",H$4,MIN(H$4,$F33)))*1),IF($G33=102,(AND(WORKDAY(EOMONTH(H$3,0)+1,-3)&gt;=MAX(H$3,$E33),WORKDAY(EOMONTH(H$3,0)+1,-3)&lt;=IF($F33="",H$4,MIN(H$4,$F33)))*1+AND(WORKDAY(EOMONTH(H$4,0)+1,-3)&lt;&gt;WORKDAY(EOMONTH(H$3,0)+1,-3),WORKDAY(EOMONTH(H$4,0)+1,-3)&gt;=MAX(H$3,$E33),WORKDAY(EOMONTH(H$4,0)+1,-3)&lt;=IF($F33="",H$4,MIN(H$4,$F33)))*1),IF(AND(IF(EDATE($E33,MAX(0,ROUNDUP(((YEAR(H$3)-YEAR($E33))*12+MONTH(H$3)-MONTH($E33))/$G33,0)*$G33))&lt;H$3,EDATE($E33,MAX(0,ROUNDUP(((YEAR(H$3)-YEAR($E33))*12+MONTH(H$3)-MONTH($E33))/$G33,0)*$G33)+$G33),EDATE($E33,MAX(0,ROUNDUP(((YEAR(H$3)-YEAR($E33))*12+MONTH(H$3)-MONTH($E33))/$G33,0)*$G33)))&gt;=H$3,IF(EDATE($E33,MAX(0,ROUNDUP(((YEAR(H$3)-YEAR($E33))*12+MONTH(H$3)-MONTH($E33))/$G33,0)*$G33))&lt;H$3,EDATE($E33,MAX(0,ROUNDUP(((YEAR(H$3)-YEAR($E33))*12+MONTH(H$3)-MONTH($E33))/$G33,0)*$G33)+$G33),EDATE($E33,MAX(0,ROUNDUP(((YEAR(H$3)-YEAR($E33))*12+MONTH(H$3)-MONTH($E33))/$G33,0)*$G33)))&lt;=IF($F33="",H$4,MIN(H$4,$F33))),1,0)))))</f>
        <v>0</v>
      </c>
      <c r="I33" s="25" t="n">
        <f aca="false">IF(OR($C33="",$C33=0,$E33="",$B33="",$G33=-2),0,$C33*IF($G33=0,IF(IF($F33="",I$4,MIN(I$4,$F33))&lt;$E33,0,MAX(0,INT((IF($F33="",I$4,MIN(I$4,$F33))-$E33)/7)+1-MAX(0,ROUNDUP((I$3-$E33)/7,0)))),IF($G33=101,(AND(EOMONTH(I$3,0)&gt;=MAX(I$3,$E33),EOMONTH(I$3,0)&lt;=IF($F33="",I$4,MIN(I$4,$F33)))*1+AND(EOMONTH(I$4,0)&lt;&gt;EOMONTH(I$3,0),EOMONTH(I$4,0)&gt;=MAX(I$3,$E33),EOMONTH(I$4,0)&lt;=IF($F33="",I$4,MIN(I$4,$F33)))*1),IF($G33=102,(AND(WORKDAY(EOMONTH(I$3,0)+1,-3)&gt;=MAX(I$3,$E33),WORKDAY(EOMONTH(I$3,0)+1,-3)&lt;=IF($F33="",I$4,MIN(I$4,$F33)))*1+AND(WORKDAY(EOMONTH(I$4,0)+1,-3)&lt;&gt;WORKDAY(EOMONTH(I$3,0)+1,-3),WORKDAY(EOMONTH(I$4,0)+1,-3)&gt;=MAX(I$3,$E33),WORKDAY(EOMONTH(I$4,0)+1,-3)&lt;=IF($F33="",I$4,MIN(I$4,$F33)))*1),IF(AND(IF(EDATE($E33,MAX(0,ROUNDUP(((YEAR(I$3)-YEAR($E33))*12+MONTH(I$3)-MONTH($E33))/$G33,0)*$G33))&lt;I$3,EDATE($E33,MAX(0,ROUNDUP(((YEAR(I$3)-YEAR($E33))*12+MONTH(I$3)-MONTH($E33))/$G33,0)*$G33)+$G33),EDATE($E33,MAX(0,ROUNDUP(((YEAR(I$3)-YEAR($E33))*12+MONTH(I$3)-MONTH($E33))/$G33,0)*$G33)))&gt;=I$3,IF(EDATE($E33,MAX(0,ROUNDUP(((YEAR(I$3)-YEAR($E33))*12+MONTH(I$3)-MONTH($E33))/$G33,0)*$G33))&lt;I$3,EDATE($E33,MAX(0,ROUNDUP(((YEAR(I$3)-YEAR($E33))*12+MONTH(I$3)-MONTH($E33))/$G33,0)*$G33)+$G33),EDATE($E33,MAX(0,ROUNDUP(((YEAR(I$3)-YEAR($E33))*12+MONTH(I$3)-MONTH($E33))/$G33,0)*$G33)))&lt;=IF($F33="",I$4,MIN(I$4,$F33))),1,0)))))</f>
        <v>0</v>
      </c>
      <c r="J33" s="25" t="n">
        <f aca="false">IF(OR($C33="",$C33=0,$E33="",$B33="",$G33=-2),0,$C33*IF($G33=0,IF(IF($F33="",J$4,MIN(J$4,$F33))&lt;$E33,0,MAX(0,INT((IF($F33="",J$4,MIN(J$4,$F33))-$E33)/7)+1-MAX(0,ROUNDUP((J$3-$E33)/7,0)))),IF($G33=101,(AND(EOMONTH(J$3,0)&gt;=MAX(J$3,$E33),EOMONTH(J$3,0)&lt;=IF($F33="",J$4,MIN(J$4,$F33)))*1+AND(EOMONTH(J$4,0)&lt;&gt;EOMONTH(J$3,0),EOMONTH(J$4,0)&gt;=MAX(J$3,$E33),EOMONTH(J$4,0)&lt;=IF($F33="",J$4,MIN(J$4,$F33)))*1),IF($G33=102,(AND(WORKDAY(EOMONTH(J$3,0)+1,-3)&gt;=MAX(J$3,$E33),WORKDAY(EOMONTH(J$3,0)+1,-3)&lt;=IF($F33="",J$4,MIN(J$4,$F33)))*1+AND(WORKDAY(EOMONTH(J$4,0)+1,-3)&lt;&gt;WORKDAY(EOMONTH(J$3,0)+1,-3),WORKDAY(EOMONTH(J$4,0)+1,-3)&gt;=MAX(J$3,$E33),WORKDAY(EOMONTH(J$4,0)+1,-3)&lt;=IF($F33="",J$4,MIN(J$4,$F33)))*1),IF(AND(IF(EDATE($E33,MAX(0,ROUNDUP(((YEAR(J$3)-YEAR($E33))*12+MONTH(J$3)-MONTH($E33))/$G33,0)*$G33))&lt;J$3,EDATE($E33,MAX(0,ROUNDUP(((YEAR(J$3)-YEAR($E33))*12+MONTH(J$3)-MONTH($E33))/$G33,0)*$G33)+$G33),EDATE($E33,MAX(0,ROUNDUP(((YEAR(J$3)-YEAR($E33))*12+MONTH(J$3)-MONTH($E33))/$G33,0)*$G33)))&gt;=J$3,IF(EDATE($E33,MAX(0,ROUNDUP(((YEAR(J$3)-YEAR($E33))*12+MONTH(J$3)-MONTH($E33))/$G33,0)*$G33))&lt;J$3,EDATE($E33,MAX(0,ROUNDUP(((YEAR(J$3)-YEAR($E33))*12+MONTH(J$3)-MONTH($E33))/$G33,0)*$G33)+$G33),EDATE($E33,MAX(0,ROUNDUP(((YEAR(J$3)-YEAR($E33))*12+MONTH(J$3)-MONTH($E33))/$G33,0)*$G33)))&lt;=IF($F33="",J$4,MIN(J$4,$F33))),1,0)))))</f>
        <v>0</v>
      </c>
      <c r="K33" s="25" t="n">
        <f aca="false">IF(OR($C33="",$C33=0,$E33="",$B33="",$G33=-2),0,$C33*IF($G33=0,IF(IF($F33="",K$4,MIN(K$4,$F33))&lt;$E33,0,MAX(0,INT((IF($F33="",K$4,MIN(K$4,$F33))-$E33)/7)+1-MAX(0,ROUNDUP((K$3-$E33)/7,0)))),IF($G33=101,(AND(EOMONTH(K$3,0)&gt;=MAX(K$3,$E33),EOMONTH(K$3,0)&lt;=IF($F33="",K$4,MIN(K$4,$F33)))*1+AND(EOMONTH(K$4,0)&lt;&gt;EOMONTH(K$3,0),EOMONTH(K$4,0)&gt;=MAX(K$3,$E33),EOMONTH(K$4,0)&lt;=IF($F33="",K$4,MIN(K$4,$F33)))*1),IF($G33=102,(AND(WORKDAY(EOMONTH(K$3,0)+1,-3)&gt;=MAX(K$3,$E33),WORKDAY(EOMONTH(K$3,0)+1,-3)&lt;=IF($F33="",K$4,MIN(K$4,$F33)))*1+AND(WORKDAY(EOMONTH(K$4,0)+1,-3)&lt;&gt;WORKDAY(EOMONTH(K$3,0)+1,-3),WORKDAY(EOMONTH(K$4,0)+1,-3)&gt;=MAX(K$3,$E33),WORKDAY(EOMONTH(K$4,0)+1,-3)&lt;=IF($F33="",K$4,MIN(K$4,$F33)))*1),IF(AND(IF(EDATE($E33,MAX(0,ROUNDUP(((YEAR(K$3)-YEAR($E33))*12+MONTH(K$3)-MONTH($E33))/$G33,0)*$G33))&lt;K$3,EDATE($E33,MAX(0,ROUNDUP(((YEAR(K$3)-YEAR($E33))*12+MONTH(K$3)-MONTH($E33))/$G33,0)*$G33)+$G33),EDATE($E33,MAX(0,ROUNDUP(((YEAR(K$3)-YEAR($E33))*12+MONTH(K$3)-MONTH($E33))/$G33,0)*$G33)))&gt;=K$3,IF(EDATE($E33,MAX(0,ROUNDUP(((YEAR(K$3)-YEAR($E33))*12+MONTH(K$3)-MONTH($E33))/$G33,0)*$G33))&lt;K$3,EDATE($E33,MAX(0,ROUNDUP(((YEAR(K$3)-YEAR($E33))*12+MONTH(K$3)-MONTH($E33))/$G33,0)*$G33)+$G33),EDATE($E33,MAX(0,ROUNDUP(((YEAR(K$3)-YEAR($E33))*12+MONTH(K$3)-MONTH($E33))/$G33,0)*$G33)))&lt;=IF($F33="",K$4,MIN(K$4,$F33))),1,0)))))</f>
        <v>0</v>
      </c>
      <c r="L33" s="25" t="n">
        <f aca="false">IF(OR($C33="",$C33=0,$E33="",$B33="",$G33=-2),0,$C33*IF($G33=0,IF(IF($F33="",L$4,MIN(L$4,$F33))&lt;$E33,0,MAX(0,INT((IF($F33="",L$4,MIN(L$4,$F33))-$E33)/7)+1-MAX(0,ROUNDUP((L$3-$E33)/7,0)))),IF($G33=101,(AND(EOMONTH(L$3,0)&gt;=MAX(L$3,$E33),EOMONTH(L$3,0)&lt;=IF($F33="",L$4,MIN(L$4,$F33)))*1+AND(EOMONTH(L$4,0)&lt;&gt;EOMONTH(L$3,0),EOMONTH(L$4,0)&gt;=MAX(L$3,$E33),EOMONTH(L$4,0)&lt;=IF($F33="",L$4,MIN(L$4,$F33)))*1),IF($G33=102,(AND(WORKDAY(EOMONTH(L$3,0)+1,-3)&gt;=MAX(L$3,$E33),WORKDAY(EOMONTH(L$3,0)+1,-3)&lt;=IF($F33="",L$4,MIN(L$4,$F33)))*1+AND(WORKDAY(EOMONTH(L$4,0)+1,-3)&lt;&gt;WORKDAY(EOMONTH(L$3,0)+1,-3),WORKDAY(EOMONTH(L$4,0)+1,-3)&gt;=MAX(L$3,$E33),WORKDAY(EOMONTH(L$4,0)+1,-3)&lt;=IF($F33="",L$4,MIN(L$4,$F33)))*1),IF(AND(IF(EDATE($E33,MAX(0,ROUNDUP(((YEAR(L$3)-YEAR($E33))*12+MONTH(L$3)-MONTH($E33))/$G33,0)*$G33))&lt;L$3,EDATE($E33,MAX(0,ROUNDUP(((YEAR(L$3)-YEAR($E33))*12+MONTH(L$3)-MONTH($E33))/$G33,0)*$G33)+$G33),EDATE($E33,MAX(0,ROUNDUP(((YEAR(L$3)-YEAR($E33))*12+MONTH(L$3)-MONTH($E33))/$G33,0)*$G33)))&gt;=L$3,IF(EDATE($E33,MAX(0,ROUNDUP(((YEAR(L$3)-YEAR($E33))*12+MONTH(L$3)-MONTH($E33))/$G33,0)*$G33))&lt;L$3,EDATE($E33,MAX(0,ROUNDUP(((YEAR(L$3)-YEAR($E33))*12+MONTH(L$3)-MONTH($E33))/$G33,0)*$G33)+$G33),EDATE($E33,MAX(0,ROUNDUP(((YEAR(L$3)-YEAR($E33))*12+MONTH(L$3)-MONTH($E33))/$G33,0)*$G33)))&lt;=IF($F33="",L$4,MIN(L$4,$F33))),1,0)))))</f>
        <v>0</v>
      </c>
      <c r="M33" s="25" t="n">
        <f aca="false">IF(OR($C33="",$C33=0,$E33="",$B33="",$G33=-2),0,$C33*IF($G33=0,IF(IF($F33="",M$4,MIN(M$4,$F33))&lt;$E33,0,MAX(0,INT((IF($F33="",M$4,MIN(M$4,$F33))-$E33)/7)+1-MAX(0,ROUNDUP((M$3-$E33)/7,0)))),IF($G33=101,(AND(EOMONTH(M$3,0)&gt;=MAX(M$3,$E33),EOMONTH(M$3,0)&lt;=IF($F33="",M$4,MIN(M$4,$F33)))*1+AND(EOMONTH(M$4,0)&lt;&gt;EOMONTH(M$3,0),EOMONTH(M$4,0)&gt;=MAX(M$3,$E33),EOMONTH(M$4,0)&lt;=IF($F33="",M$4,MIN(M$4,$F33)))*1),IF($G33=102,(AND(WORKDAY(EOMONTH(M$3,0)+1,-3)&gt;=MAX(M$3,$E33),WORKDAY(EOMONTH(M$3,0)+1,-3)&lt;=IF($F33="",M$4,MIN(M$4,$F33)))*1+AND(WORKDAY(EOMONTH(M$4,0)+1,-3)&lt;&gt;WORKDAY(EOMONTH(M$3,0)+1,-3),WORKDAY(EOMONTH(M$4,0)+1,-3)&gt;=MAX(M$3,$E33),WORKDAY(EOMONTH(M$4,0)+1,-3)&lt;=IF($F33="",M$4,MIN(M$4,$F33)))*1),IF(AND(IF(EDATE($E33,MAX(0,ROUNDUP(((YEAR(M$3)-YEAR($E33))*12+MONTH(M$3)-MONTH($E33))/$G33,0)*$G33))&lt;M$3,EDATE($E33,MAX(0,ROUNDUP(((YEAR(M$3)-YEAR($E33))*12+MONTH(M$3)-MONTH($E33))/$G33,0)*$G33)+$G33),EDATE($E33,MAX(0,ROUNDUP(((YEAR(M$3)-YEAR($E33))*12+MONTH(M$3)-MONTH($E33))/$G33,0)*$G33)))&gt;=M$3,IF(EDATE($E33,MAX(0,ROUNDUP(((YEAR(M$3)-YEAR($E33))*12+MONTH(M$3)-MONTH($E33))/$G33,0)*$G33))&lt;M$3,EDATE($E33,MAX(0,ROUNDUP(((YEAR(M$3)-YEAR($E33))*12+MONTH(M$3)-MONTH($E33))/$G33,0)*$G33)+$G33),EDATE($E33,MAX(0,ROUNDUP(((YEAR(M$3)-YEAR($E33))*12+MONTH(M$3)-MONTH($E33))/$G33,0)*$G33)))&lt;=IF($F33="",M$4,MIN(M$4,$F33))),1,0)))))</f>
        <v>0</v>
      </c>
      <c r="N33" s="25" t="n">
        <f aca="false">IF(OR($C33="",$C33=0,$E33="",$B33="",$G33=-2),0,$C33*IF($G33=0,IF(IF($F33="",N$4,MIN(N$4,$F33))&lt;$E33,0,MAX(0,INT((IF($F33="",N$4,MIN(N$4,$F33))-$E33)/7)+1-MAX(0,ROUNDUP((N$3-$E33)/7,0)))),IF($G33=101,(AND(EOMONTH(N$3,0)&gt;=MAX(N$3,$E33),EOMONTH(N$3,0)&lt;=IF($F33="",N$4,MIN(N$4,$F33)))*1+AND(EOMONTH(N$4,0)&lt;&gt;EOMONTH(N$3,0),EOMONTH(N$4,0)&gt;=MAX(N$3,$E33),EOMONTH(N$4,0)&lt;=IF($F33="",N$4,MIN(N$4,$F33)))*1),IF($G33=102,(AND(WORKDAY(EOMONTH(N$3,0)+1,-3)&gt;=MAX(N$3,$E33),WORKDAY(EOMONTH(N$3,0)+1,-3)&lt;=IF($F33="",N$4,MIN(N$4,$F33)))*1+AND(WORKDAY(EOMONTH(N$4,0)+1,-3)&lt;&gt;WORKDAY(EOMONTH(N$3,0)+1,-3),WORKDAY(EOMONTH(N$4,0)+1,-3)&gt;=MAX(N$3,$E33),WORKDAY(EOMONTH(N$4,0)+1,-3)&lt;=IF($F33="",N$4,MIN(N$4,$F33)))*1),IF(AND(IF(EDATE($E33,MAX(0,ROUNDUP(((YEAR(N$3)-YEAR($E33))*12+MONTH(N$3)-MONTH($E33))/$G33,0)*$G33))&lt;N$3,EDATE($E33,MAX(0,ROUNDUP(((YEAR(N$3)-YEAR($E33))*12+MONTH(N$3)-MONTH($E33))/$G33,0)*$G33)+$G33),EDATE($E33,MAX(0,ROUNDUP(((YEAR(N$3)-YEAR($E33))*12+MONTH(N$3)-MONTH($E33))/$G33,0)*$G33)))&gt;=N$3,IF(EDATE($E33,MAX(0,ROUNDUP(((YEAR(N$3)-YEAR($E33))*12+MONTH(N$3)-MONTH($E33))/$G33,0)*$G33))&lt;N$3,EDATE($E33,MAX(0,ROUNDUP(((YEAR(N$3)-YEAR($E33))*12+MONTH(N$3)-MONTH($E33))/$G33,0)*$G33)+$G33),EDATE($E33,MAX(0,ROUNDUP(((YEAR(N$3)-YEAR($E33))*12+MONTH(N$3)-MONTH($E33))/$G33,0)*$G33)))&lt;=IF($F33="",N$4,MIN(N$4,$F33))),1,0)))))</f>
        <v>0</v>
      </c>
      <c r="O33" s="25" t="n">
        <f aca="false">IF(OR($C33="",$C33=0,$E33="",$B33="",$G33=-2),0,$C33*IF($G33=0,IF(IF($F33="",O$4,MIN(O$4,$F33))&lt;$E33,0,MAX(0,INT((IF($F33="",O$4,MIN(O$4,$F33))-$E33)/7)+1-MAX(0,ROUNDUP((O$3-$E33)/7,0)))),IF($G33=101,(AND(EOMONTH(O$3,0)&gt;=MAX(O$3,$E33),EOMONTH(O$3,0)&lt;=IF($F33="",O$4,MIN(O$4,$F33)))*1+AND(EOMONTH(O$4,0)&lt;&gt;EOMONTH(O$3,0),EOMONTH(O$4,0)&gt;=MAX(O$3,$E33),EOMONTH(O$4,0)&lt;=IF($F33="",O$4,MIN(O$4,$F33)))*1),IF($G33=102,(AND(WORKDAY(EOMONTH(O$3,0)+1,-3)&gt;=MAX(O$3,$E33),WORKDAY(EOMONTH(O$3,0)+1,-3)&lt;=IF($F33="",O$4,MIN(O$4,$F33)))*1+AND(WORKDAY(EOMONTH(O$4,0)+1,-3)&lt;&gt;WORKDAY(EOMONTH(O$3,0)+1,-3),WORKDAY(EOMONTH(O$4,0)+1,-3)&gt;=MAX(O$3,$E33),WORKDAY(EOMONTH(O$4,0)+1,-3)&lt;=IF($F33="",O$4,MIN(O$4,$F33)))*1),IF(AND(IF(EDATE($E33,MAX(0,ROUNDUP(((YEAR(O$3)-YEAR($E33))*12+MONTH(O$3)-MONTH($E33))/$G33,0)*$G33))&lt;O$3,EDATE($E33,MAX(0,ROUNDUP(((YEAR(O$3)-YEAR($E33))*12+MONTH(O$3)-MONTH($E33))/$G33,0)*$G33)+$G33),EDATE($E33,MAX(0,ROUNDUP(((YEAR(O$3)-YEAR($E33))*12+MONTH(O$3)-MONTH($E33))/$G33,0)*$G33)))&gt;=O$3,IF(EDATE($E33,MAX(0,ROUNDUP(((YEAR(O$3)-YEAR($E33))*12+MONTH(O$3)-MONTH($E33))/$G33,0)*$G33))&lt;O$3,EDATE($E33,MAX(0,ROUNDUP(((YEAR(O$3)-YEAR($E33))*12+MONTH(O$3)-MONTH($E33))/$G33,0)*$G33)+$G33),EDATE($E33,MAX(0,ROUNDUP(((YEAR(O$3)-YEAR($E33))*12+MONTH(O$3)-MONTH($E33))/$G33,0)*$G33)))&lt;=IF($F33="",O$4,MIN(O$4,$F33))),1,0)))))</f>
        <v>0</v>
      </c>
      <c r="P33" s="25" t="n">
        <f aca="false">IF(OR($C33="",$C33=0,$E33="",$B33="",$G33=-2),0,$C33*IF($G33=0,IF(IF($F33="",P$4,MIN(P$4,$F33))&lt;$E33,0,MAX(0,INT((IF($F33="",P$4,MIN(P$4,$F33))-$E33)/7)+1-MAX(0,ROUNDUP((P$3-$E33)/7,0)))),IF($G33=101,(AND(EOMONTH(P$3,0)&gt;=MAX(P$3,$E33),EOMONTH(P$3,0)&lt;=IF($F33="",P$4,MIN(P$4,$F33)))*1+AND(EOMONTH(P$4,0)&lt;&gt;EOMONTH(P$3,0),EOMONTH(P$4,0)&gt;=MAX(P$3,$E33),EOMONTH(P$4,0)&lt;=IF($F33="",P$4,MIN(P$4,$F33)))*1),IF($G33=102,(AND(WORKDAY(EOMONTH(P$3,0)+1,-3)&gt;=MAX(P$3,$E33),WORKDAY(EOMONTH(P$3,0)+1,-3)&lt;=IF($F33="",P$4,MIN(P$4,$F33)))*1+AND(WORKDAY(EOMONTH(P$4,0)+1,-3)&lt;&gt;WORKDAY(EOMONTH(P$3,0)+1,-3),WORKDAY(EOMONTH(P$4,0)+1,-3)&gt;=MAX(P$3,$E33),WORKDAY(EOMONTH(P$4,0)+1,-3)&lt;=IF($F33="",P$4,MIN(P$4,$F33)))*1),IF(AND(IF(EDATE($E33,MAX(0,ROUNDUP(((YEAR(P$3)-YEAR($E33))*12+MONTH(P$3)-MONTH($E33))/$G33,0)*$G33))&lt;P$3,EDATE($E33,MAX(0,ROUNDUP(((YEAR(P$3)-YEAR($E33))*12+MONTH(P$3)-MONTH($E33))/$G33,0)*$G33)+$G33),EDATE($E33,MAX(0,ROUNDUP(((YEAR(P$3)-YEAR($E33))*12+MONTH(P$3)-MONTH($E33))/$G33,0)*$G33)))&gt;=P$3,IF(EDATE($E33,MAX(0,ROUNDUP(((YEAR(P$3)-YEAR($E33))*12+MONTH(P$3)-MONTH($E33))/$G33,0)*$G33))&lt;P$3,EDATE($E33,MAX(0,ROUNDUP(((YEAR(P$3)-YEAR($E33))*12+MONTH(P$3)-MONTH($E33))/$G33,0)*$G33)+$G33),EDATE($E33,MAX(0,ROUNDUP(((YEAR(P$3)-YEAR($E33))*12+MONTH(P$3)-MONTH($E33))/$G33,0)*$G33)))&lt;=IF($F33="",P$4,MIN(P$4,$F33))),1,0)))))</f>
        <v>0</v>
      </c>
      <c r="Q33" s="25" t="n">
        <f aca="false">IF(OR($C33="",$C33=0,$E33="",$B33="",$G33=-2),0,$C33*IF($G33=0,IF(IF($F33="",Q$4,MIN(Q$4,$F33))&lt;$E33,0,MAX(0,INT((IF($F33="",Q$4,MIN(Q$4,$F33))-$E33)/7)+1-MAX(0,ROUNDUP((Q$3-$E33)/7,0)))),IF($G33=101,(AND(EOMONTH(Q$3,0)&gt;=MAX(Q$3,$E33),EOMONTH(Q$3,0)&lt;=IF($F33="",Q$4,MIN(Q$4,$F33)))*1+AND(EOMONTH(Q$4,0)&lt;&gt;EOMONTH(Q$3,0),EOMONTH(Q$4,0)&gt;=MAX(Q$3,$E33),EOMONTH(Q$4,0)&lt;=IF($F33="",Q$4,MIN(Q$4,$F33)))*1),IF($G33=102,(AND(WORKDAY(EOMONTH(Q$3,0)+1,-3)&gt;=MAX(Q$3,$E33),WORKDAY(EOMONTH(Q$3,0)+1,-3)&lt;=IF($F33="",Q$4,MIN(Q$4,$F33)))*1+AND(WORKDAY(EOMONTH(Q$4,0)+1,-3)&lt;&gt;WORKDAY(EOMONTH(Q$3,0)+1,-3),WORKDAY(EOMONTH(Q$4,0)+1,-3)&gt;=MAX(Q$3,$E33),WORKDAY(EOMONTH(Q$4,0)+1,-3)&lt;=IF($F33="",Q$4,MIN(Q$4,$F33)))*1),IF(AND(IF(EDATE($E33,MAX(0,ROUNDUP(((YEAR(Q$3)-YEAR($E33))*12+MONTH(Q$3)-MONTH($E33))/$G33,0)*$G33))&lt;Q$3,EDATE($E33,MAX(0,ROUNDUP(((YEAR(Q$3)-YEAR($E33))*12+MONTH(Q$3)-MONTH($E33))/$G33,0)*$G33)+$G33),EDATE($E33,MAX(0,ROUNDUP(((YEAR(Q$3)-YEAR($E33))*12+MONTH(Q$3)-MONTH($E33))/$G33,0)*$G33)))&gt;=Q$3,IF(EDATE($E33,MAX(0,ROUNDUP(((YEAR(Q$3)-YEAR($E33))*12+MONTH(Q$3)-MONTH($E33))/$G33,0)*$G33))&lt;Q$3,EDATE($E33,MAX(0,ROUNDUP(((YEAR(Q$3)-YEAR($E33))*12+MONTH(Q$3)-MONTH($E33))/$G33,0)*$G33)+$G33),EDATE($E33,MAX(0,ROUNDUP(((YEAR(Q$3)-YEAR($E33))*12+MONTH(Q$3)-MONTH($E33))/$G33,0)*$G33)))&lt;=IF($F33="",Q$4,MIN(Q$4,$F33))),1,0)))))</f>
        <v>0</v>
      </c>
      <c r="R33" s="25" t="n">
        <f aca="false">IF(OR($C33="",$C33=0,$E33="",$B33="",$G33=-2),0,$C33*IF($G33=0,IF(IF($F33="",R$4,MIN(R$4,$F33))&lt;$E33,0,MAX(0,INT((IF($F33="",R$4,MIN(R$4,$F33))-$E33)/7)+1-MAX(0,ROUNDUP((R$3-$E33)/7,0)))),IF($G33=101,(AND(EOMONTH(R$3,0)&gt;=MAX(R$3,$E33),EOMONTH(R$3,0)&lt;=IF($F33="",R$4,MIN(R$4,$F33)))*1+AND(EOMONTH(R$4,0)&lt;&gt;EOMONTH(R$3,0),EOMONTH(R$4,0)&gt;=MAX(R$3,$E33),EOMONTH(R$4,0)&lt;=IF($F33="",R$4,MIN(R$4,$F33)))*1),IF($G33=102,(AND(WORKDAY(EOMONTH(R$3,0)+1,-3)&gt;=MAX(R$3,$E33),WORKDAY(EOMONTH(R$3,0)+1,-3)&lt;=IF($F33="",R$4,MIN(R$4,$F33)))*1+AND(WORKDAY(EOMONTH(R$4,0)+1,-3)&lt;&gt;WORKDAY(EOMONTH(R$3,0)+1,-3),WORKDAY(EOMONTH(R$4,0)+1,-3)&gt;=MAX(R$3,$E33),WORKDAY(EOMONTH(R$4,0)+1,-3)&lt;=IF($F33="",R$4,MIN(R$4,$F33)))*1),IF(AND(IF(EDATE($E33,MAX(0,ROUNDUP(((YEAR(R$3)-YEAR($E33))*12+MONTH(R$3)-MONTH($E33))/$G33,0)*$G33))&lt;R$3,EDATE($E33,MAX(0,ROUNDUP(((YEAR(R$3)-YEAR($E33))*12+MONTH(R$3)-MONTH($E33))/$G33,0)*$G33)+$G33),EDATE($E33,MAX(0,ROUNDUP(((YEAR(R$3)-YEAR($E33))*12+MONTH(R$3)-MONTH($E33))/$G33,0)*$G33)))&gt;=R$3,IF(EDATE($E33,MAX(0,ROUNDUP(((YEAR(R$3)-YEAR($E33))*12+MONTH(R$3)-MONTH($E33))/$G33,0)*$G33))&lt;R$3,EDATE($E33,MAX(0,ROUNDUP(((YEAR(R$3)-YEAR($E33))*12+MONTH(R$3)-MONTH($E33))/$G33,0)*$G33)+$G33),EDATE($E33,MAX(0,ROUNDUP(((YEAR(R$3)-YEAR($E33))*12+MONTH(R$3)-MONTH($E33))/$G33,0)*$G33)))&lt;=IF($F33="",R$4,MIN(R$4,$F33))),1,0)))))</f>
        <v>0</v>
      </c>
      <c r="S33" s="25" t="n">
        <f aca="false">IF(OR($C33="",$C33=0,$E33="",$B33="",$G33=-2),0,$C33*IF($G33=0,IF(IF($F33="",S$4,MIN(S$4,$F33))&lt;$E33,0,MAX(0,INT((IF($F33="",S$4,MIN(S$4,$F33))-$E33)/7)+1-MAX(0,ROUNDUP((S$3-$E33)/7,0)))),IF($G33=101,(AND(EOMONTH(S$3,0)&gt;=MAX(S$3,$E33),EOMONTH(S$3,0)&lt;=IF($F33="",S$4,MIN(S$4,$F33)))*1+AND(EOMONTH(S$4,0)&lt;&gt;EOMONTH(S$3,0),EOMONTH(S$4,0)&gt;=MAX(S$3,$E33),EOMONTH(S$4,0)&lt;=IF($F33="",S$4,MIN(S$4,$F33)))*1),IF($G33=102,(AND(WORKDAY(EOMONTH(S$3,0)+1,-3)&gt;=MAX(S$3,$E33),WORKDAY(EOMONTH(S$3,0)+1,-3)&lt;=IF($F33="",S$4,MIN(S$4,$F33)))*1+AND(WORKDAY(EOMONTH(S$4,0)+1,-3)&lt;&gt;WORKDAY(EOMONTH(S$3,0)+1,-3),WORKDAY(EOMONTH(S$4,0)+1,-3)&gt;=MAX(S$3,$E33),WORKDAY(EOMONTH(S$4,0)+1,-3)&lt;=IF($F33="",S$4,MIN(S$4,$F33)))*1),IF(AND(IF(EDATE($E33,MAX(0,ROUNDUP(((YEAR(S$3)-YEAR($E33))*12+MONTH(S$3)-MONTH($E33))/$G33,0)*$G33))&lt;S$3,EDATE($E33,MAX(0,ROUNDUP(((YEAR(S$3)-YEAR($E33))*12+MONTH(S$3)-MONTH($E33))/$G33,0)*$G33)+$G33),EDATE($E33,MAX(0,ROUNDUP(((YEAR(S$3)-YEAR($E33))*12+MONTH(S$3)-MONTH($E33))/$G33,0)*$G33)))&gt;=S$3,IF(EDATE($E33,MAX(0,ROUNDUP(((YEAR(S$3)-YEAR($E33))*12+MONTH(S$3)-MONTH($E33))/$G33,0)*$G33))&lt;S$3,EDATE($E33,MAX(0,ROUNDUP(((YEAR(S$3)-YEAR($E33))*12+MONTH(S$3)-MONTH($E33))/$G33,0)*$G33)+$G33),EDATE($E33,MAX(0,ROUNDUP(((YEAR(S$3)-YEAR($E33))*12+MONTH(S$3)-MONTH($E33))/$G33,0)*$G33)))&lt;=IF($F33="",S$4,MIN(S$4,$F33))),1,0)))))</f>
        <v>0</v>
      </c>
      <c r="T33" s="25" t="n">
        <f aca="false">IF(OR($C33="",$C33=0,$E33="",$B33="",$G33=-2),0,$C33*IF($G33=0,IF(IF($F33="",T$4,MIN(T$4,$F33))&lt;$E33,0,MAX(0,INT((IF($F33="",T$4,MIN(T$4,$F33))-$E33)/7)+1-MAX(0,ROUNDUP((T$3-$E33)/7,0)))),IF($G33=101,(AND(EOMONTH(T$3,0)&gt;=MAX(T$3,$E33),EOMONTH(T$3,0)&lt;=IF($F33="",T$4,MIN(T$4,$F33)))*1+AND(EOMONTH(T$4,0)&lt;&gt;EOMONTH(T$3,0),EOMONTH(T$4,0)&gt;=MAX(T$3,$E33),EOMONTH(T$4,0)&lt;=IF($F33="",T$4,MIN(T$4,$F33)))*1),IF($G33=102,(AND(WORKDAY(EOMONTH(T$3,0)+1,-3)&gt;=MAX(T$3,$E33),WORKDAY(EOMONTH(T$3,0)+1,-3)&lt;=IF($F33="",T$4,MIN(T$4,$F33)))*1+AND(WORKDAY(EOMONTH(T$4,0)+1,-3)&lt;&gt;WORKDAY(EOMONTH(T$3,0)+1,-3),WORKDAY(EOMONTH(T$4,0)+1,-3)&gt;=MAX(T$3,$E33),WORKDAY(EOMONTH(T$4,0)+1,-3)&lt;=IF($F33="",T$4,MIN(T$4,$F33)))*1),IF(AND(IF(EDATE($E33,MAX(0,ROUNDUP(((YEAR(T$3)-YEAR($E33))*12+MONTH(T$3)-MONTH($E33))/$G33,0)*$G33))&lt;T$3,EDATE($E33,MAX(0,ROUNDUP(((YEAR(T$3)-YEAR($E33))*12+MONTH(T$3)-MONTH($E33))/$G33,0)*$G33)+$G33),EDATE($E33,MAX(0,ROUNDUP(((YEAR(T$3)-YEAR($E33))*12+MONTH(T$3)-MONTH($E33))/$G33,0)*$G33)))&gt;=T$3,IF(EDATE($E33,MAX(0,ROUNDUP(((YEAR(T$3)-YEAR($E33))*12+MONTH(T$3)-MONTH($E33))/$G33,0)*$G33))&lt;T$3,EDATE($E33,MAX(0,ROUNDUP(((YEAR(T$3)-YEAR($E33))*12+MONTH(T$3)-MONTH($E33))/$G33,0)*$G33)+$G33),EDATE($E33,MAX(0,ROUNDUP(((YEAR(T$3)-YEAR($E33))*12+MONTH(T$3)-MONTH($E33))/$G33,0)*$G33)))&lt;=IF($F33="",T$4,MIN(T$4,$F33))),1,0)))))</f>
        <v>0</v>
      </c>
      <c r="U33" s="25" t="n">
        <f aca="false">IF(OR($C33="",$C33=0,$E33="",$B33="",$G33=-2),0,$C33*IF($G33=0,IF(IF($F33="",U$4,MIN(U$4,$F33))&lt;$E33,0,MAX(0,INT((IF($F33="",U$4,MIN(U$4,$F33))-$E33)/7)+1-MAX(0,ROUNDUP((U$3-$E33)/7,0)))),IF($G33=101,(AND(EOMONTH(U$3,0)&gt;=MAX(U$3,$E33),EOMONTH(U$3,0)&lt;=IF($F33="",U$4,MIN(U$4,$F33)))*1+AND(EOMONTH(U$4,0)&lt;&gt;EOMONTH(U$3,0),EOMONTH(U$4,0)&gt;=MAX(U$3,$E33),EOMONTH(U$4,0)&lt;=IF($F33="",U$4,MIN(U$4,$F33)))*1),IF($G33=102,(AND(WORKDAY(EOMONTH(U$3,0)+1,-3)&gt;=MAX(U$3,$E33),WORKDAY(EOMONTH(U$3,0)+1,-3)&lt;=IF($F33="",U$4,MIN(U$4,$F33)))*1+AND(WORKDAY(EOMONTH(U$4,0)+1,-3)&lt;&gt;WORKDAY(EOMONTH(U$3,0)+1,-3),WORKDAY(EOMONTH(U$4,0)+1,-3)&gt;=MAX(U$3,$E33),WORKDAY(EOMONTH(U$4,0)+1,-3)&lt;=IF($F33="",U$4,MIN(U$4,$F33)))*1),IF(AND(IF(EDATE($E33,MAX(0,ROUNDUP(((YEAR(U$3)-YEAR($E33))*12+MONTH(U$3)-MONTH($E33))/$G33,0)*$G33))&lt;U$3,EDATE($E33,MAX(0,ROUNDUP(((YEAR(U$3)-YEAR($E33))*12+MONTH(U$3)-MONTH($E33))/$G33,0)*$G33)+$G33),EDATE($E33,MAX(0,ROUNDUP(((YEAR(U$3)-YEAR($E33))*12+MONTH(U$3)-MONTH($E33))/$G33,0)*$G33)))&gt;=U$3,IF(EDATE($E33,MAX(0,ROUNDUP(((YEAR(U$3)-YEAR($E33))*12+MONTH(U$3)-MONTH($E33))/$G33,0)*$G33))&lt;U$3,EDATE($E33,MAX(0,ROUNDUP(((YEAR(U$3)-YEAR($E33))*12+MONTH(U$3)-MONTH($E33))/$G33,0)*$G33)+$G33),EDATE($E33,MAX(0,ROUNDUP(((YEAR(U$3)-YEAR($E33))*12+MONTH(U$3)-MONTH($E33))/$G33,0)*$G33)))&lt;=IF($F33="",U$4,MIN(U$4,$F33))),1,0)))))</f>
        <v>0</v>
      </c>
      <c r="V33" s="25" t="n">
        <f aca="false">IF(OR($C33="",$C33=0,$E33="",$B33="",$G33=-2),0,$C33*IF($G33=0,IF(IF($F33="",V$4,MIN(V$4,$F33))&lt;$E33,0,MAX(0,INT((IF($F33="",V$4,MIN(V$4,$F33))-$E33)/7)+1-MAX(0,ROUNDUP((V$3-$E33)/7,0)))),IF($G33=101,(AND(EOMONTH(V$3,0)&gt;=MAX(V$3,$E33),EOMONTH(V$3,0)&lt;=IF($F33="",V$4,MIN(V$4,$F33)))*1+AND(EOMONTH(V$4,0)&lt;&gt;EOMONTH(V$3,0),EOMONTH(V$4,0)&gt;=MAX(V$3,$E33),EOMONTH(V$4,0)&lt;=IF($F33="",V$4,MIN(V$4,$F33)))*1),IF($G33=102,(AND(WORKDAY(EOMONTH(V$3,0)+1,-3)&gt;=MAX(V$3,$E33),WORKDAY(EOMONTH(V$3,0)+1,-3)&lt;=IF($F33="",V$4,MIN(V$4,$F33)))*1+AND(WORKDAY(EOMONTH(V$4,0)+1,-3)&lt;&gt;WORKDAY(EOMONTH(V$3,0)+1,-3),WORKDAY(EOMONTH(V$4,0)+1,-3)&gt;=MAX(V$3,$E33),WORKDAY(EOMONTH(V$4,0)+1,-3)&lt;=IF($F33="",V$4,MIN(V$4,$F33)))*1),IF(AND(IF(EDATE($E33,MAX(0,ROUNDUP(((YEAR(V$3)-YEAR($E33))*12+MONTH(V$3)-MONTH($E33))/$G33,0)*$G33))&lt;V$3,EDATE($E33,MAX(0,ROUNDUP(((YEAR(V$3)-YEAR($E33))*12+MONTH(V$3)-MONTH($E33))/$G33,0)*$G33)+$G33),EDATE($E33,MAX(0,ROUNDUP(((YEAR(V$3)-YEAR($E33))*12+MONTH(V$3)-MONTH($E33))/$G33,0)*$G33)))&gt;=V$3,IF(EDATE($E33,MAX(0,ROUNDUP(((YEAR(V$3)-YEAR($E33))*12+MONTH(V$3)-MONTH($E33))/$G33,0)*$G33))&lt;V$3,EDATE($E33,MAX(0,ROUNDUP(((YEAR(V$3)-YEAR($E33))*12+MONTH(V$3)-MONTH($E33))/$G33,0)*$G33)+$G33),EDATE($E33,MAX(0,ROUNDUP(((YEAR(V$3)-YEAR($E33))*12+MONTH(V$3)-MONTH($E33))/$G33,0)*$G33)))&lt;=IF($F33="",V$4,MIN(V$4,$F33))),1,0)))))</f>
        <v>0</v>
      </c>
      <c r="W33" s="25" t="n">
        <f aca="false">IF(OR($C33="",$C33=0,$E33="",$B33="",$G33=-2),0,$C33*IF($G33=0,IF(IF($F33="",W$4,MIN(W$4,$F33))&lt;$E33,0,MAX(0,INT((IF($F33="",W$4,MIN(W$4,$F33))-$E33)/7)+1-MAX(0,ROUNDUP((W$3-$E33)/7,0)))),IF($G33=101,(AND(EOMONTH(W$3,0)&gt;=MAX(W$3,$E33),EOMONTH(W$3,0)&lt;=IF($F33="",W$4,MIN(W$4,$F33)))*1+AND(EOMONTH(W$4,0)&lt;&gt;EOMONTH(W$3,0),EOMONTH(W$4,0)&gt;=MAX(W$3,$E33),EOMONTH(W$4,0)&lt;=IF($F33="",W$4,MIN(W$4,$F33)))*1),IF($G33=102,(AND(WORKDAY(EOMONTH(W$3,0)+1,-3)&gt;=MAX(W$3,$E33),WORKDAY(EOMONTH(W$3,0)+1,-3)&lt;=IF($F33="",W$4,MIN(W$4,$F33)))*1+AND(WORKDAY(EOMONTH(W$4,0)+1,-3)&lt;&gt;WORKDAY(EOMONTH(W$3,0)+1,-3),WORKDAY(EOMONTH(W$4,0)+1,-3)&gt;=MAX(W$3,$E33),WORKDAY(EOMONTH(W$4,0)+1,-3)&lt;=IF($F33="",W$4,MIN(W$4,$F33)))*1),IF(AND(IF(EDATE($E33,MAX(0,ROUNDUP(((YEAR(W$3)-YEAR($E33))*12+MONTH(W$3)-MONTH($E33))/$G33,0)*$G33))&lt;W$3,EDATE($E33,MAX(0,ROUNDUP(((YEAR(W$3)-YEAR($E33))*12+MONTH(W$3)-MONTH($E33))/$G33,0)*$G33)+$G33),EDATE($E33,MAX(0,ROUNDUP(((YEAR(W$3)-YEAR($E33))*12+MONTH(W$3)-MONTH($E33))/$G33,0)*$G33)))&gt;=W$3,IF(EDATE($E33,MAX(0,ROUNDUP(((YEAR(W$3)-YEAR($E33))*12+MONTH(W$3)-MONTH($E33))/$G33,0)*$G33))&lt;W$3,EDATE($E33,MAX(0,ROUNDUP(((YEAR(W$3)-YEAR($E33))*12+MONTH(W$3)-MONTH($E33))/$G33,0)*$G33)+$G33),EDATE($E33,MAX(0,ROUNDUP(((YEAR(W$3)-YEAR($E33))*12+MONTH(W$3)-MONTH($E33))/$G33,0)*$G33)))&lt;=IF($F33="",W$4,MIN(W$4,$F33))),1,0)))))</f>
        <v>0</v>
      </c>
      <c r="X33" s="25" t="n">
        <f aca="false">IF(OR($C33="",$C33=0,$E33="",$B33="",$G33=-2),0,$C33*IF($G33=0,IF(IF($F33="",X$4,MIN(X$4,$F33))&lt;$E33,0,MAX(0,INT((IF($F33="",X$4,MIN(X$4,$F33))-$E33)/7)+1-MAX(0,ROUNDUP((X$3-$E33)/7,0)))),IF($G33=101,(AND(EOMONTH(X$3,0)&gt;=MAX(X$3,$E33),EOMONTH(X$3,0)&lt;=IF($F33="",X$4,MIN(X$4,$F33)))*1+AND(EOMONTH(X$4,0)&lt;&gt;EOMONTH(X$3,0),EOMONTH(X$4,0)&gt;=MAX(X$3,$E33),EOMONTH(X$4,0)&lt;=IF($F33="",X$4,MIN(X$4,$F33)))*1),IF($G33=102,(AND(WORKDAY(EOMONTH(X$3,0)+1,-3)&gt;=MAX(X$3,$E33),WORKDAY(EOMONTH(X$3,0)+1,-3)&lt;=IF($F33="",X$4,MIN(X$4,$F33)))*1+AND(WORKDAY(EOMONTH(X$4,0)+1,-3)&lt;&gt;WORKDAY(EOMONTH(X$3,0)+1,-3),WORKDAY(EOMONTH(X$4,0)+1,-3)&gt;=MAX(X$3,$E33),WORKDAY(EOMONTH(X$4,0)+1,-3)&lt;=IF($F33="",X$4,MIN(X$4,$F33)))*1),IF(AND(IF(EDATE($E33,MAX(0,ROUNDUP(((YEAR(X$3)-YEAR($E33))*12+MONTH(X$3)-MONTH($E33))/$G33,0)*$G33))&lt;X$3,EDATE($E33,MAX(0,ROUNDUP(((YEAR(X$3)-YEAR($E33))*12+MONTH(X$3)-MONTH($E33))/$G33,0)*$G33)+$G33),EDATE($E33,MAX(0,ROUNDUP(((YEAR(X$3)-YEAR($E33))*12+MONTH(X$3)-MONTH($E33))/$G33,0)*$G33)))&gt;=X$3,IF(EDATE($E33,MAX(0,ROUNDUP(((YEAR(X$3)-YEAR($E33))*12+MONTH(X$3)-MONTH($E33))/$G33,0)*$G33))&lt;X$3,EDATE($E33,MAX(0,ROUNDUP(((YEAR(X$3)-YEAR($E33))*12+MONTH(X$3)-MONTH($E33))/$G33,0)*$G33)+$G33),EDATE($E33,MAX(0,ROUNDUP(((YEAR(X$3)-YEAR($E33))*12+MONTH(X$3)-MONTH($E33))/$G33,0)*$G33)))&lt;=IF($F33="",X$4,MIN(X$4,$F33))),1,0)))))</f>
        <v>0</v>
      </c>
      <c r="Y33" s="25" t="n">
        <f aca="false">IF(OR($C33="",$C33=0,$E33="",$B33="",$G33=-2),0,$C33*IF($G33=0,IF(IF($F33="",Y$4,MIN(Y$4,$F33))&lt;$E33,0,MAX(0,INT((IF($F33="",Y$4,MIN(Y$4,$F33))-$E33)/7)+1-MAX(0,ROUNDUP((Y$3-$E33)/7,0)))),IF($G33=101,(AND(EOMONTH(Y$3,0)&gt;=MAX(Y$3,$E33),EOMONTH(Y$3,0)&lt;=IF($F33="",Y$4,MIN(Y$4,$F33)))*1+AND(EOMONTH(Y$4,0)&lt;&gt;EOMONTH(Y$3,0),EOMONTH(Y$4,0)&gt;=MAX(Y$3,$E33),EOMONTH(Y$4,0)&lt;=IF($F33="",Y$4,MIN(Y$4,$F33)))*1),IF($G33=102,(AND(WORKDAY(EOMONTH(Y$3,0)+1,-3)&gt;=MAX(Y$3,$E33),WORKDAY(EOMONTH(Y$3,0)+1,-3)&lt;=IF($F33="",Y$4,MIN(Y$4,$F33)))*1+AND(WORKDAY(EOMONTH(Y$4,0)+1,-3)&lt;&gt;WORKDAY(EOMONTH(Y$3,0)+1,-3),WORKDAY(EOMONTH(Y$4,0)+1,-3)&gt;=MAX(Y$3,$E33),WORKDAY(EOMONTH(Y$4,0)+1,-3)&lt;=IF($F33="",Y$4,MIN(Y$4,$F33)))*1),IF(AND(IF(EDATE($E33,MAX(0,ROUNDUP(((YEAR(Y$3)-YEAR($E33))*12+MONTH(Y$3)-MONTH($E33))/$G33,0)*$G33))&lt;Y$3,EDATE($E33,MAX(0,ROUNDUP(((YEAR(Y$3)-YEAR($E33))*12+MONTH(Y$3)-MONTH($E33))/$G33,0)*$G33)+$G33),EDATE($E33,MAX(0,ROUNDUP(((YEAR(Y$3)-YEAR($E33))*12+MONTH(Y$3)-MONTH($E33))/$G33,0)*$G33)))&gt;=Y$3,IF(EDATE($E33,MAX(0,ROUNDUP(((YEAR(Y$3)-YEAR($E33))*12+MONTH(Y$3)-MONTH($E33))/$G33,0)*$G33))&lt;Y$3,EDATE($E33,MAX(0,ROUNDUP(((YEAR(Y$3)-YEAR($E33))*12+MONTH(Y$3)-MONTH($E33))/$G33,0)*$G33)+$G33),EDATE($E33,MAX(0,ROUNDUP(((YEAR(Y$3)-YEAR($E33))*12+MONTH(Y$3)-MONTH($E33))/$G33,0)*$G33)))&lt;=IF($F33="",Y$4,MIN(Y$4,$F33))),1,0)))))</f>
        <v>0</v>
      </c>
      <c r="Z33" s="25" t="n">
        <f aca="false">IF(OR($C33="",$C33=0,$E33="",$B33="",$G33=-2),0,$C33*IF($G33=0,IF(IF($F33="",Z$4,MIN(Z$4,$F33))&lt;$E33,0,MAX(0,INT((IF($F33="",Z$4,MIN(Z$4,$F33))-$E33)/7)+1-MAX(0,ROUNDUP((Z$3-$E33)/7,0)))),IF($G33=101,(AND(EOMONTH(Z$3,0)&gt;=MAX(Z$3,$E33),EOMONTH(Z$3,0)&lt;=IF($F33="",Z$4,MIN(Z$4,$F33)))*1+AND(EOMONTH(Z$4,0)&lt;&gt;EOMONTH(Z$3,0),EOMONTH(Z$4,0)&gt;=MAX(Z$3,$E33),EOMONTH(Z$4,0)&lt;=IF($F33="",Z$4,MIN(Z$4,$F33)))*1),IF($G33=102,(AND(WORKDAY(EOMONTH(Z$3,0)+1,-3)&gt;=MAX(Z$3,$E33),WORKDAY(EOMONTH(Z$3,0)+1,-3)&lt;=IF($F33="",Z$4,MIN(Z$4,$F33)))*1+AND(WORKDAY(EOMONTH(Z$4,0)+1,-3)&lt;&gt;WORKDAY(EOMONTH(Z$3,0)+1,-3),WORKDAY(EOMONTH(Z$4,0)+1,-3)&gt;=MAX(Z$3,$E33),WORKDAY(EOMONTH(Z$4,0)+1,-3)&lt;=IF($F33="",Z$4,MIN(Z$4,$F33)))*1),IF(AND(IF(EDATE($E33,MAX(0,ROUNDUP(((YEAR(Z$3)-YEAR($E33))*12+MONTH(Z$3)-MONTH($E33))/$G33,0)*$G33))&lt;Z$3,EDATE($E33,MAX(0,ROUNDUP(((YEAR(Z$3)-YEAR($E33))*12+MONTH(Z$3)-MONTH($E33))/$G33,0)*$G33)+$G33),EDATE($E33,MAX(0,ROUNDUP(((YEAR(Z$3)-YEAR($E33))*12+MONTH(Z$3)-MONTH($E33))/$G33,0)*$G33)))&gt;=Z$3,IF(EDATE($E33,MAX(0,ROUNDUP(((YEAR(Z$3)-YEAR($E33))*12+MONTH(Z$3)-MONTH($E33))/$G33,0)*$G33))&lt;Z$3,EDATE($E33,MAX(0,ROUNDUP(((YEAR(Z$3)-YEAR($E33))*12+MONTH(Z$3)-MONTH($E33))/$G33,0)*$G33)+$G33),EDATE($E33,MAX(0,ROUNDUP(((YEAR(Z$3)-YEAR($E33))*12+MONTH(Z$3)-MONTH($E33))/$G33,0)*$G33)))&lt;=IF($F33="",Z$4,MIN(Z$4,$F33))),1,0)))))</f>
        <v>0</v>
      </c>
      <c r="AA33" s="25" t="n">
        <f aca="false">IF(OR($C33="",$C33=0,$E33="",$B33="",$G33=-2),0,$C33*IF($G33=0,IF(IF($F33="",AA$4,MIN(AA$4,$F33))&lt;$E33,0,MAX(0,INT((IF($F33="",AA$4,MIN(AA$4,$F33))-$E33)/7)+1-MAX(0,ROUNDUP((AA$3-$E33)/7,0)))),IF($G33=101,(AND(EOMONTH(AA$3,0)&gt;=MAX(AA$3,$E33),EOMONTH(AA$3,0)&lt;=IF($F33="",AA$4,MIN(AA$4,$F33)))*1+AND(EOMONTH(AA$4,0)&lt;&gt;EOMONTH(AA$3,0),EOMONTH(AA$4,0)&gt;=MAX(AA$3,$E33),EOMONTH(AA$4,0)&lt;=IF($F33="",AA$4,MIN(AA$4,$F33)))*1),IF($G33=102,(AND(WORKDAY(EOMONTH(AA$3,0)+1,-3)&gt;=MAX(AA$3,$E33),WORKDAY(EOMONTH(AA$3,0)+1,-3)&lt;=IF($F33="",AA$4,MIN(AA$4,$F33)))*1+AND(WORKDAY(EOMONTH(AA$4,0)+1,-3)&lt;&gt;WORKDAY(EOMONTH(AA$3,0)+1,-3),WORKDAY(EOMONTH(AA$4,0)+1,-3)&gt;=MAX(AA$3,$E33),WORKDAY(EOMONTH(AA$4,0)+1,-3)&lt;=IF($F33="",AA$4,MIN(AA$4,$F33)))*1),IF(AND(IF(EDATE($E33,MAX(0,ROUNDUP(((YEAR(AA$3)-YEAR($E33))*12+MONTH(AA$3)-MONTH($E33))/$G33,0)*$G33))&lt;AA$3,EDATE($E33,MAX(0,ROUNDUP(((YEAR(AA$3)-YEAR($E33))*12+MONTH(AA$3)-MONTH($E33))/$G33,0)*$G33)+$G33),EDATE($E33,MAX(0,ROUNDUP(((YEAR(AA$3)-YEAR($E33))*12+MONTH(AA$3)-MONTH($E33))/$G33,0)*$G33)))&gt;=AA$3,IF(EDATE($E33,MAX(0,ROUNDUP(((YEAR(AA$3)-YEAR($E33))*12+MONTH(AA$3)-MONTH($E33))/$G33,0)*$G33))&lt;AA$3,EDATE($E33,MAX(0,ROUNDUP(((YEAR(AA$3)-YEAR($E33))*12+MONTH(AA$3)-MONTH($E33))/$G33,0)*$G33)+$G33),EDATE($E33,MAX(0,ROUNDUP(((YEAR(AA$3)-YEAR($E33))*12+MONTH(AA$3)-MONTH($E33))/$G33,0)*$G33)))&lt;=IF($F33="",AA$4,MIN(AA$4,$F33))),1,0)))))</f>
        <v>0</v>
      </c>
      <c r="AB33" s="25" t="n">
        <f aca="false">IF(OR($C33="",$C33=0,$E33="",$B33="",$G33=-2),0,$C33*IF($G33=0,IF(IF($F33="",AB$4,MIN(AB$4,$F33))&lt;$E33,0,MAX(0,INT((IF($F33="",AB$4,MIN(AB$4,$F33))-$E33)/7)+1-MAX(0,ROUNDUP((AB$3-$E33)/7,0)))),IF($G33=101,(AND(EOMONTH(AB$3,0)&gt;=MAX(AB$3,$E33),EOMONTH(AB$3,0)&lt;=IF($F33="",AB$4,MIN(AB$4,$F33)))*1+AND(EOMONTH(AB$4,0)&lt;&gt;EOMONTH(AB$3,0),EOMONTH(AB$4,0)&gt;=MAX(AB$3,$E33),EOMONTH(AB$4,0)&lt;=IF($F33="",AB$4,MIN(AB$4,$F33)))*1),IF($G33=102,(AND(WORKDAY(EOMONTH(AB$3,0)+1,-3)&gt;=MAX(AB$3,$E33),WORKDAY(EOMONTH(AB$3,0)+1,-3)&lt;=IF($F33="",AB$4,MIN(AB$4,$F33)))*1+AND(WORKDAY(EOMONTH(AB$4,0)+1,-3)&lt;&gt;WORKDAY(EOMONTH(AB$3,0)+1,-3),WORKDAY(EOMONTH(AB$4,0)+1,-3)&gt;=MAX(AB$3,$E33),WORKDAY(EOMONTH(AB$4,0)+1,-3)&lt;=IF($F33="",AB$4,MIN(AB$4,$F33)))*1),IF(AND(IF(EDATE($E33,MAX(0,ROUNDUP(((YEAR(AB$3)-YEAR($E33))*12+MONTH(AB$3)-MONTH($E33))/$G33,0)*$G33))&lt;AB$3,EDATE($E33,MAX(0,ROUNDUP(((YEAR(AB$3)-YEAR($E33))*12+MONTH(AB$3)-MONTH($E33))/$G33,0)*$G33)+$G33),EDATE($E33,MAX(0,ROUNDUP(((YEAR(AB$3)-YEAR($E33))*12+MONTH(AB$3)-MONTH($E33))/$G33,0)*$G33)))&gt;=AB$3,IF(EDATE($E33,MAX(0,ROUNDUP(((YEAR(AB$3)-YEAR($E33))*12+MONTH(AB$3)-MONTH($E33))/$G33,0)*$G33))&lt;AB$3,EDATE($E33,MAX(0,ROUNDUP(((YEAR(AB$3)-YEAR($E33))*12+MONTH(AB$3)-MONTH($E33))/$G33,0)*$G33)+$G33),EDATE($E33,MAX(0,ROUNDUP(((YEAR(AB$3)-YEAR($E33))*12+MONTH(AB$3)-MONTH($E33))/$G33,0)*$G33)))&lt;=IF($F33="",AB$4,MIN(AB$4,$F33))),1,0)))))</f>
        <v>0</v>
      </c>
      <c r="AC33" s="25" t="n">
        <f aca="false">IF(OR($C33="",$C33=0,$E33="",$B33="",$G33=-2),0,$C33*IF($G33=0,IF(IF($F33="",AC$4,MIN(AC$4,$F33))&lt;$E33,0,MAX(0,INT((IF($F33="",AC$4,MIN(AC$4,$F33))-$E33)/7)+1-MAX(0,ROUNDUP((AC$3-$E33)/7,0)))),IF($G33=101,(AND(EOMONTH(AC$3,0)&gt;=MAX(AC$3,$E33),EOMONTH(AC$3,0)&lt;=IF($F33="",AC$4,MIN(AC$4,$F33)))*1+AND(EOMONTH(AC$4,0)&lt;&gt;EOMONTH(AC$3,0),EOMONTH(AC$4,0)&gt;=MAX(AC$3,$E33),EOMONTH(AC$4,0)&lt;=IF($F33="",AC$4,MIN(AC$4,$F33)))*1),IF($G33=102,(AND(WORKDAY(EOMONTH(AC$3,0)+1,-3)&gt;=MAX(AC$3,$E33),WORKDAY(EOMONTH(AC$3,0)+1,-3)&lt;=IF($F33="",AC$4,MIN(AC$4,$F33)))*1+AND(WORKDAY(EOMONTH(AC$4,0)+1,-3)&lt;&gt;WORKDAY(EOMONTH(AC$3,0)+1,-3),WORKDAY(EOMONTH(AC$4,0)+1,-3)&gt;=MAX(AC$3,$E33),WORKDAY(EOMONTH(AC$4,0)+1,-3)&lt;=IF($F33="",AC$4,MIN(AC$4,$F33)))*1),IF(AND(IF(EDATE($E33,MAX(0,ROUNDUP(((YEAR(AC$3)-YEAR($E33))*12+MONTH(AC$3)-MONTH($E33))/$G33,0)*$G33))&lt;AC$3,EDATE($E33,MAX(0,ROUNDUP(((YEAR(AC$3)-YEAR($E33))*12+MONTH(AC$3)-MONTH($E33))/$G33,0)*$G33)+$G33),EDATE($E33,MAX(0,ROUNDUP(((YEAR(AC$3)-YEAR($E33))*12+MONTH(AC$3)-MONTH($E33))/$G33,0)*$G33)))&gt;=AC$3,IF(EDATE($E33,MAX(0,ROUNDUP(((YEAR(AC$3)-YEAR($E33))*12+MONTH(AC$3)-MONTH($E33))/$G33,0)*$G33))&lt;AC$3,EDATE($E33,MAX(0,ROUNDUP(((YEAR(AC$3)-YEAR($E33))*12+MONTH(AC$3)-MONTH($E33))/$G33,0)*$G33)+$G33),EDATE($E33,MAX(0,ROUNDUP(((YEAR(AC$3)-YEAR($E33))*12+MONTH(AC$3)-MONTH($E33))/$G33,0)*$G33)))&lt;=IF($F33="",AC$4,MIN(AC$4,$F33))),1,0)))))</f>
        <v>0</v>
      </c>
      <c r="AD33" s="25" t="n">
        <f aca="false">IF(OR($C33="",$C33=0,$E33="",$B33="",$G33=-2),0,$C33*IF($G33=0,IF(IF($F33="",AD$4,MIN(AD$4,$F33))&lt;$E33,0,MAX(0,INT((IF($F33="",AD$4,MIN(AD$4,$F33))-$E33)/7)+1-MAX(0,ROUNDUP((AD$3-$E33)/7,0)))),IF($G33=101,(AND(EOMONTH(AD$3,0)&gt;=MAX(AD$3,$E33),EOMONTH(AD$3,0)&lt;=IF($F33="",AD$4,MIN(AD$4,$F33)))*1+AND(EOMONTH(AD$4,0)&lt;&gt;EOMONTH(AD$3,0),EOMONTH(AD$4,0)&gt;=MAX(AD$3,$E33),EOMONTH(AD$4,0)&lt;=IF($F33="",AD$4,MIN(AD$4,$F33)))*1),IF($G33=102,(AND(WORKDAY(EOMONTH(AD$3,0)+1,-3)&gt;=MAX(AD$3,$E33),WORKDAY(EOMONTH(AD$3,0)+1,-3)&lt;=IF($F33="",AD$4,MIN(AD$4,$F33)))*1+AND(WORKDAY(EOMONTH(AD$4,0)+1,-3)&lt;&gt;WORKDAY(EOMONTH(AD$3,0)+1,-3),WORKDAY(EOMONTH(AD$4,0)+1,-3)&gt;=MAX(AD$3,$E33),WORKDAY(EOMONTH(AD$4,0)+1,-3)&lt;=IF($F33="",AD$4,MIN(AD$4,$F33)))*1),IF(AND(IF(EDATE($E33,MAX(0,ROUNDUP(((YEAR(AD$3)-YEAR($E33))*12+MONTH(AD$3)-MONTH($E33))/$G33,0)*$G33))&lt;AD$3,EDATE($E33,MAX(0,ROUNDUP(((YEAR(AD$3)-YEAR($E33))*12+MONTH(AD$3)-MONTH($E33))/$G33,0)*$G33)+$G33),EDATE($E33,MAX(0,ROUNDUP(((YEAR(AD$3)-YEAR($E33))*12+MONTH(AD$3)-MONTH($E33))/$G33,0)*$G33)))&gt;=AD$3,IF(EDATE($E33,MAX(0,ROUNDUP(((YEAR(AD$3)-YEAR($E33))*12+MONTH(AD$3)-MONTH($E33))/$G33,0)*$G33))&lt;AD$3,EDATE($E33,MAX(0,ROUNDUP(((YEAR(AD$3)-YEAR($E33))*12+MONTH(AD$3)-MONTH($E33))/$G33,0)*$G33)+$G33),EDATE($E33,MAX(0,ROUNDUP(((YEAR(AD$3)-YEAR($E33))*12+MONTH(AD$3)-MONTH($E33))/$G33,0)*$G33)))&lt;=IF($F33="",AD$4,MIN(AD$4,$F33))),1,0)))))</f>
        <v>0</v>
      </c>
      <c r="AE33" s="25" t="n">
        <f aca="false">IF(OR($C33="",$C33=0,$E33="",$B33="",$G33=-2),0,$C33*IF($G33=0,IF(IF($F33="",AE$4,MIN(AE$4,$F33))&lt;$E33,0,MAX(0,INT((IF($F33="",AE$4,MIN(AE$4,$F33))-$E33)/7)+1-MAX(0,ROUNDUP((AE$3-$E33)/7,0)))),IF($G33=101,(AND(EOMONTH(AE$3,0)&gt;=MAX(AE$3,$E33),EOMONTH(AE$3,0)&lt;=IF($F33="",AE$4,MIN(AE$4,$F33)))*1+AND(EOMONTH(AE$4,0)&lt;&gt;EOMONTH(AE$3,0),EOMONTH(AE$4,0)&gt;=MAX(AE$3,$E33),EOMONTH(AE$4,0)&lt;=IF($F33="",AE$4,MIN(AE$4,$F33)))*1),IF($G33=102,(AND(WORKDAY(EOMONTH(AE$3,0)+1,-3)&gt;=MAX(AE$3,$E33),WORKDAY(EOMONTH(AE$3,0)+1,-3)&lt;=IF($F33="",AE$4,MIN(AE$4,$F33)))*1+AND(WORKDAY(EOMONTH(AE$4,0)+1,-3)&lt;&gt;WORKDAY(EOMONTH(AE$3,0)+1,-3),WORKDAY(EOMONTH(AE$4,0)+1,-3)&gt;=MAX(AE$3,$E33),WORKDAY(EOMONTH(AE$4,0)+1,-3)&lt;=IF($F33="",AE$4,MIN(AE$4,$F33)))*1),IF(AND(IF(EDATE($E33,MAX(0,ROUNDUP(((YEAR(AE$3)-YEAR($E33))*12+MONTH(AE$3)-MONTH($E33))/$G33,0)*$G33))&lt;AE$3,EDATE($E33,MAX(0,ROUNDUP(((YEAR(AE$3)-YEAR($E33))*12+MONTH(AE$3)-MONTH($E33))/$G33,0)*$G33)+$G33),EDATE($E33,MAX(0,ROUNDUP(((YEAR(AE$3)-YEAR($E33))*12+MONTH(AE$3)-MONTH($E33))/$G33,0)*$G33)))&gt;=AE$3,IF(EDATE($E33,MAX(0,ROUNDUP(((YEAR(AE$3)-YEAR($E33))*12+MONTH(AE$3)-MONTH($E33))/$G33,0)*$G33))&lt;AE$3,EDATE($E33,MAX(0,ROUNDUP(((YEAR(AE$3)-YEAR($E33))*12+MONTH(AE$3)-MONTH($E33))/$G33,0)*$G33)+$G33),EDATE($E33,MAX(0,ROUNDUP(((YEAR(AE$3)-YEAR($E33))*12+MONTH(AE$3)-MONTH($E33))/$G33,0)*$G33)))&lt;=IF($F33="",AE$4,MIN(AE$4,$F33))),1,0)))))</f>
        <v>0</v>
      </c>
      <c r="AF33" s="25" t="n">
        <f aca="false">IF(OR($C33="",$C33=0,$E33="",$B33="",$G33=-2),0,$C33*IF($G33=0,IF(IF($F33="",AF$4,MIN(AF$4,$F33))&lt;$E33,0,MAX(0,INT((IF($F33="",AF$4,MIN(AF$4,$F33))-$E33)/7)+1-MAX(0,ROUNDUP((AF$3-$E33)/7,0)))),IF($G33=101,(AND(EOMONTH(AF$3,0)&gt;=MAX(AF$3,$E33),EOMONTH(AF$3,0)&lt;=IF($F33="",AF$4,MIN(AF$4,$F33)))*1+AND(EOMONTH(AF$4,0)&lt;&gt;EOMONTH(AF$3,0),EOMONTH(AF$4,0)&gt;=MAX(AF$3,$E33),EOMONTH(AF$4,0)&lt;=IF($F33="",AF$4,MIN(AF$4,$F33)))*1),IF($G33=102,(AND(WORKDAY(EOMONTH(AF$3,0)+1,-3)&gt;=MAX(AF$3,$E33),WORKDAY(EOMONTH(AF$3,0)+1,-3)&lt;=IF($F33="",AF$4,MIN(AF$4,$F33)))*1+AND(WORKDAY(EOMONTH(AF$4,0)+1,-3)&lt;&gt;WORKDAY(EOMONTH(AF$3,0)+1,-3),WORKDAY(EOMONTH(AF$4,0)+1,-3)&gt;=MAX(AF$3,$E33),WORKDAY(EOMONTH(AF$4,0)+1,-3)&lt;=IF($F33="",AF$4,MIN(AF$4,$F33)))*1),IF(AND(IF(EDATE($E33,MAX(0,ROUNDUP(((YEAR(AF$3)-YEAR($E33))*12+MONTH(AF$3)-MONTH($E33))/$G33,0)*$G33))&lt;AF$3,EDATE($E33,MAX(0,ROUNDUP(((YEAR(AF$3)-YEAR($E33))*12+MONTH(AF$3)-MONTH($E33))/$G33,0)*$G33)+$G33),EDATE($E33,MAX(0,ROUNDUP(((YEAR(AF$3)-YEAR($E33))*12+MONTH(AF$3)-MONTH($E33))/$G33,0)*$G33)))&gt;=AF$3,IF(EDATE($E33,MAX(0,ROUNDUP(((YEAR(AF$3)-YEAR($E33))*12+MONTH(AF$3)-MONTH($E33))/$G33,0)*$G33))&lt;AF$3,EDATE($E33,MAX(0,ROUNDUP(((YEAR(AF$3)-YEAR($E33))*12+MONTH(AF$3)-MONTH($E33))/$G33,0)*$G33)+$G33),EDATE($E33,MAX(0,ROUNDUP(((YEAR(AF$3)-YEAR($E33))*12+MONTH(AF$3)-MONTH($E33))/$G33,0)*$G33)))&lt;=IF($F33="",AF$4,MIN(AF$4,$F33))),1,0)))))</f>
        <v>0</v>
      </c>
    </row>
    <row r="34" customFormat="false" ht="15" hidden="false" customHeight="false" outlineLevel="0" collapsed="false">
      <c r="A34" s="5"/>
      <c r="B34" s="5"/>
      <c r="C34" s="8"/>
      <c r="D34" s="5"/>
      <c r="E34" s="7"/>
      <c r="F34" s="7"/>
      <c r="G34" s="24" t="n">
        <f aca="false">IFERROR(INDEX(Listen!$E$2:$E$8,MATCH(D34,Listen!$D$2:$D$8,0)),-2)</f>
        <v>-2</v>
      </c>
      <c r="H34" s="25" t="n">
        <f aca="false">IF(OR($C34="",$C34=0,$E34="",$B34="",$G34=-2),0,$C34*IF($G34=0,IF(IF($F34="",H$4,MIN(H$4,$F34))&lt;$E34,0,MAX(0,INT((IF($F34="",H$4,MIN(H$4,$F34))-$E34)/7)+1-MAX(0,ROUNDUP((H$3-$E34)/7,0)))),IF($G34=101,(AND(EOMONTH(H$3,0)&gt;=MAX(H$3,$E34),EOMONTH(H$3,0)&lt;=IF($F34="",H$4,MIN(H$4,$F34)))*1+AND(EOMONTH(H$4,0)&lt;&gt;EOMONTH(H$3,0),EOMONTH(H$4,0)&gt;=MAX(H$3,$E34),EOMONTH(H$4,0)&lt;=IF($F34="",H$4,MIN(H$4,$F34)))*1),IF($G34=102,(AND(WORKDAY(EOMONTH(H$3,0)+1,-3)&gt;=MAX(H$3,$E34),WORKDAY(EOMONTH(H$3,0)+1,-3)&lt;=IF($F34="",H$4,MIN(H$4,$F34)))*1+AND(WORKDAY(EOMONTH(H$4,0)+1,-3)&lt;&gt;WORKDAY(EOMONTH(H$3,0)+1,-3),WORKDAY(EOMONTH(H$4,0)+1,-3)&gt;=MAX(H$3,$E34),WORKDAY(EOMONTH(H$4,0)+1,-3)&lt;=IF($F34="",H$4,MIN(H$4,$F34)))*1),IF(AND(IF(EDATE($E34,MAX(0,ROUNDUP(((YEAR(H$3)-YEAR($E34))*12+MONTH(H$3)-MONTH($E34))/$G34,0)*$G34))&lt;H$3,EDATE($E34,MAX(0,ROUNDUP(((YEAR(H$3)-YEAR($E34))*12+MONTH(H$3)-MONTH($E34))/$G34,0)*$G34)+$G34),EDATE($E34,MAX(0,ROUNDUP(((YEAR(H$3)-YEAR($E34))*12+MONTH(H$3)-MONTH($E34))/$G34,0)*$G34)))&gt;=H$3,IF(EDATE($E34,MAX(0,ROUNDUP(((YEAR(H$3)-YEAR($E34))*12+MONTH(H$3)-MONTH($E34))/$G34,0)*$G34))&lt;H$3,EDATE($E34,MAX(0,ROUNDUP(((YEAR(H$3)-YEAR($E34))*12+MONTH(H$3)-MONTH($E34))/$G34,0)*$G34)+$G34),EDATE($E34,MAX(0,ROUNDUP(((YEAR(H$3)-YEAR($E34))*12+MONTH(H$3)-MONTH($E34))/$G34,0)*$G34)))&lt;=IF($F34="",H$4,MIN(H$4,$F34))),1,0)))))</f>
        <v>0</v>
      </c>
      <c r="I34" s="25" t="n">
        <f aca="false">IF(OR($C34="",$C34=0,$E34="",$B34="",$G34=-2),0,$C34*IF($G34=0,IF(IF($F34="",I$4,MIN(I$4,$F34))&lt;$E34,0,MAX(0,INT((IF($F34="",I$4,MIN(I$4,$F34))-$E34)/7)+1-MAX(0,ROUNDUP((I$3-$E34)/7,0)))),IF($G34=101,(AND(EOMONTH(I$3,0)&gt;=MAX(I$3,$E34),EOMONTH(I$3,0)&lt;=IF($F34="",I$4,MIN(I$4,$F34)))*1+AND(EOMONTH(I$4,0)&lt;&gt;EOMONTH(I$3,0),EOMONTH(I$4,0)&gt;=MAX(I$3,$E34),EOMONTH(I$4,0)&lt;=IF($F34="",I$4,MIN(I$4,$F34)))*1),IF($G34=102,(AND(WORKDAY(EOMONTH(I$3,0)+1,-3)&gt;=MAX(I$3,$E34),WORKDAY(EOMONTH(I$3,0)+1,-3)&lt;=IF($F34="",I$4,MIN(I$4,$F34)))*1+AND(WORKDAY(EOMONTH(I$4,0)+1,-3)&lt;&gt;WORKDAY(EOMONTH(I$3,0)+1,-3),WORKDAY(EOMONTH(I$4,0)+1,-3)&gt;=MAX(I$3,$E34),WORKDAY(EOMONTH(I$4,0)+1,-3)&lt;=IF($F34="",I$4,MIN(I$4,$F34)))*1),IF(AND(IF(EDATE($E34,MAX(0,ROUNDUP(((YEAR(I$3)-YEAR($E34))*12+MONTH(I$3)-MONTH($E34))/$G34,0)*$G34))&lt;I$3,EDATE($E34,MAX(0,ROUNDUP(((YEAR(I$3)-YEAR($E34))*12+MONTH(I$3)-MONTH($E34))/$G34,0)*$G34)+$G34),EDATE($E34,MAX(0,ROUNDUP(((YEAR(I$3)-YEAR($E34))*12+MONTH(I$3)-MONTH($E34))/$G34,0)*$G34)))&gt;=I$3,IF(EDATE($E34,MAX(0,ROUNDUP(((YEAR(I$3)-YEAR($E34))*12+MONTH(I$3)-MONTH($E34))/$G34,0)*$G34))&lt;I$3,EDATE($E34,MAX(0,ROUNDUP(((YEAR(I$3)-YEAR($E34))*12+MONTH(I$3)-MONTH($E34))/$G34,0)*$G34)+$G34),EDATE($E34,MAX(0,ROUNDUP(((YEAR(I$3)-YEAR($E34))*12+MONTH(I$3)-MONTH($E34))/$G34,0)*$G34)))&lt;=IF($F34="",I$4,MIN(I$4,$F34))),1,0)))))</f>
        <v>0</v>
      </c>
      <c r="J34" s="25" t="n">
        <f aca="false">IF(OR($C34="",$C34=0,$E34="",$B34="",$G34=-2),0,$C34*IF($G34=0,IF(IF($F34="",J$4,MIN(J$4,$F34))&lt;$E34,0,MAX(0,INT((IF($F34="",J$4,MIN(J$4,$F34))-$E34)/7)+1-MAX(0,ROUNDUP((J$3-$E34)/7,0)))),IF($G34=101,(AND(EOMONTH(J$3,0)&gt;=MAX(J$3,$E34),EOMONTH(J$3,0)&lt;=IF($F34="",J$4,MIN(J$4,$F34)))*1+AND(EOMONTH(J$4,0)&lt;&gt;EOMONTH(J$3,0),EOMONTH(J$4,0)&gt;=MAX(J$3,$E34),EOMONTH(J$4,0)&lt;=IF($F34="",J$4,MIN(J$4,$F34)))*1),IF($G34=102,(AND(WORKDAY(EOMONTH(J$3,0)+1,-3)&gt;=MAX(J$3,$E34),WORKDAY(EOMONTH(J$3,0)+1,-3)&lt;=IF($F34="",J$4,MIN(J$4,$F34)))*1+AND(WORKDAY(EOMONTH(J$4,0)+1,-3)&lt;&gt;WORKDAY(EOMONTH(J$3,0)+1,-3),WORKDAY(EOMONTH(J$4,0)+1,-3)&gt;=MAX(J$3,$E34),WORKDAY(EOMONTH(J$4,0)+1,-3)&lt;=IF($F34="",J$4,MIN(J$4,$F34)))*1),IF(AND(IF(EDATE($E34,MAX(0,ROUNDUP(((YEAR(J$3)-YEAR($E34))*12+MONTH(J$3)-MONTH($E34))/$G34,0)*$G34))&lt;J$3,EDATE($E34,MAX(0,ROUNDUP(((YEAR(J$3)-YEAR($E34))*12+MONTH(J$3)-MONTH($E34))/$G34,0)*$G34)+$G34),EDATE($E34,MAX(0,ROUNDUP(((YEAR(J$3)-YEAR($E34))*12+MONTH(J$3)-MONTH($E34))/$G34,0)*$G34)))&gt;=J$3,IF(EDATE($E34,MAX(0,ROUNDUP(((YEAR(J$3)-YEAR($E34))*12+MONTH(J$3)-MONTH($E34))/$G34,0)*$G34))&lt;J$3,EDATE($E34,MAX(0,ROUNDUP(((YEAR(J$3)-YEAR($E34))*12+MONTH(J$3)-MONTH($E34))/$G34,0)*$G34)+$G34),EDATE($E34,MAX(0,ROUNDUP(((YEAR(J$3)-YEAR($E34))*12+MONTH(J$3)-MONTH($E34))/$G34,0)*$G34)))&lt;=IF($F34="",J$4,MIN(J$4,$F34))),1,0)))))</f>
        <v>0</v>
      </c>
      <c r="K34" s="25" t="n">
        <f aca="false">IF(OR($C34="",$C34=0,$E34="",$B34="",$G34=-2),0,$C34*IF($G34=0,IF(IF($F34="",K$4,MIN(K$4,$F34))&lt;$E34,0,MAX(0,INT((IF($F34="",K$4,MIN(K$4,$F34))-$E34)/7)+1-MAX(0,ROUNDUP((K$3-$E34)/7,0)))),IF($G34=101,(AND(EOMONTH(K$3,0)&gt;=MAX(K$3,$E34),EOMONTH(K$3,0)&lt;=IF($F34="",K$4,MIN(K$4,$F34)))*1+AND(EOMONTH(K$4,0)&lt;&gt;EOMONTH(K$3,0),EOMONTH(K$4,0)&gt;=MAX(K$3,$E34),EOMONTH(K$4,0)&lt;=IF($F34="",K$4,MIN(K$4,$F34)))*1),IF($G34=102,(AND(WORKDAY(EOMONTH(K$3,0)+1,-3)&gt;=MAX(K$3,$E34),WORKDAY(EOMONTH(K$3,0)+1,-3)&lt;=IF($F34="",K$4,MIN(K$4,$F34)))*1+AND(WORKDAY(EOMONTH(K$4,0)+1,-3)&lt;&gt;WORKDAY(EOMONTH(K$3,0)+1,-3),WORKDAY(EOMONTH(K$4,0)+1,-3)&gt;=MAX(K$3,$E34),WORKDAY(EOMONTH(K$4,0)+1,-3)&lt;=IF($F34="",K$4,MIN(K$4,$F34)))*1),IF(AND(IF(EDATE($E34,MAX(0,ROUNDUP(((YEAR(K$3)-YEAR($E34))*12+MONTH(K$3)-MONTH($E34))/$G34,0)*$G34))&lt;K$3,EDATE($E34,MAX(0,ROUNDUP(((YEAR(K$3)-YEAR($E34))*12+MONTH(K$3)-MONTH($E34))/$G34,0)*$G34)+$G34),EDATE($E34,MAX(0,ROUNDUP(((YEAR(K$3)-YEAR($E34))*12+MONTH(K$3)-MONTH($E34))/$G34,0)*$G34)))&gt;=K$3,IF(EDATE($E34,MAX(0,ROUNDUP(((YEAR(K$3)-YEAR($E34))*12+MONTH(K$3)-MONTH($E34))/$G34,0)*$G34))&lt;K$3,EDATE($E34,MAX(0,ROUNDUP(((YEAR(K$3)-YEAR($E34))*12+MONTH(K$3)-MONTH($E34))/$G34,0)*$G34)+$G34),EDATE($E34,MAX(0,ROUNDUP(((YEAR(K$3)-YEAR($E34))*12+MONTH(K$3)-MONTH($E34))/$G34,0)*$G34)))&lt;=IF($F34="",K$4,MIN(K$4,$F34))),1,0)))))</f>
        <v>0</v>
      </c>
      <c r="L34" s="25" t="n">
        <f aca="false">IF(OR($C34="",$C34=0,$E34="",$B34="",$G34=-2),0,$C34*IF($G34=0,IF(IF($F34="",L$4,MIN(L$4,$F34))&lt;$E34,0,MAX(0,INT((IF($F34="",L$4,MIN(L$4,$F34))-$E34)/7)+1-MAX(0,ROUNDUP((L$3-$E34)/7,0)))),IF($G34=101,(AND(EOMONTH(L$3,0)&gt;=MAX(L$3,$E34),EOMONTH(L$3,0)&lt;=IF($F34="",L$4,MIN(L$4,$F34)))*1+AND(EOMONTH(L$4,0)&lt;&gt;EOMONTH(L$3,0),EOMONTH(L$4,0)&gt;=MAX(L$3,$E34),EOMONTH(L$4,0)&lt;=IF($F34="",L$4,MIN(L$4,$F34)))*1),IF($G34=102,(AND(WORKDAY(EOMONTH(L$3,0)+1,-3)&gt;=MAX(L$3,$E34),WORKDAY(EOMONTH(L$3,0)+1,-3)&lt;=IF($F34="",L$4,MIN(L$4,$F34)))*1+AND(WORKDAY(EOMONTH(L$4,0)+1,-3)&lt;&gt;WORKDAY(EOMONTH(L$3,0)+1,-3),WORKDAY(EOMONTH(L$4,0)+1,-3)&gt;=MAX(L$3,$E34),WORKDAY(EOMONTH(L$4,0)+1,-3)&lt;=IF($F34="",L$4,MIN(L$4,$F34)))*1),IF(AND(IF(EDATE($E34,MAX(0,ROUNDUP(((YEAR(L$3)-YEAR($E34))*12+MONTH(L$3)-MONTH($E34))/$G34,0)*$G34))&lt;L$3,EDATE($E34,MAX(0,ROUNDUP(((YEAR(L$3)-YEAR($E34))*12+MONTH(L$3)-MONTH($E34))/$G34,0)*$G34)+$G34),EDATE($E34,MAX(0,ROUNDUP(((YEAR(L$3)-YEAR($E34))*12+MONTH(L$3)-MONTH($E34))/$G34,0)*$G34)))&gt;=L$3,IF(EDATE($E34,MAX(0,ROUNDUP(((YEAR(L$3)-YEAR($E34))*12+MONTH(L$3)-MONTH($E34))/$G34,0)*$G34))&lt;L$3,EDATE($E34,MAX(0,ROUNDUP(((YEAR(L$3)-YEAR($E34))*12+MONTH(L$3)-MONTH($E34))/$G34,0)*$G34)+$G34),EDATE($E34,MAX(0,ROUNDUP(((YEAR(L$3)-YEAR($E34))*12+MONTH(L$3)-MONTH($E34))/$G34,0)*$G34)))&lt;=IF($F34="",L$4,MIN(L$4,$F34))),1,0)))))</f>
        <v>0</v>
      </c>
      <c r="M34" s="25" t="n">
        <f aca="false">IF(OR($C34="",$C34=0,$E34="",$B34="",$G34=-2),0,$C34*IF($G34=0,IF(IF($F34="",M$4,MIN(M$4,$F34))&lt;$E34,0,MAX(0,INT((IF($F34="",M$4,MIN(M$4,$F34))-$E34)/7)+1-MAX(0,ROUNDUP((M$3-$E34)/7,0)))),IF($G34=101,(AND(EOMONTH(M$3,0)&gt;=MAX(M$3,$E34),EOMONTH(M$3,0)&lt;=IF($F34="",M$4,MIN(M$4,$F34)))*1+AND(EOMONTH(M$4,0)&lt;&gt;EOMONTH(M$3,0),EOMONTH(M$4,0)&gt;=MAX(M$3,$E34),EOMONTH(M$4,0)&lt;=IF($F34="",M$4,MIN(M$4,$F34)))*1),IF($G34=102,(AND(WORKDAY(EOMONTH(M$3,0)+1,-3)&gt;=MAX(M$3,$E34),WORKDAY(EOMONTH(M$3,0)+1,-3)&lt;=IF($F34="",M$4,MIN(M$4,$F34)))*1+AND(WORKDAY(EOMONTH(M$4,0)+1,-3)&lt;&gt;WORKDAY(EOMONTH(M$3,0)+1,-3),WORKDAY(EOMONTH(M$4,0)+1,-3)&gt;=MAX(M$3,$E34),WORKDAY(EOMONTH(M$4,0)+1,-3)&lt;=IF($F34="",M$4,MIN(M$4,$F34)))*1),IF(AND(IF(EDATE($E34,MAX(0,ROUNDUP(((YEAR(M$3)-YEAR($E34))*12+MONTH(M$3)-MONTH($E34))/$G34,0)*$G34))&lt;M$3,EDATE($E34,MAX(0,ROUNDUP(((YEAR(M$3)-YEAR($E34))*12+MONTH(M$3)-MONTH($E34))/$G34,0)*$G34)+$G34),EDATE($E34,MAX(0,ROUNDUP(((YEAR(M$3)-YEAR($E34))*12+MONTH(M$3)-MONTH($E34))/$G34,0)*$G34)))&gt;=M$3,IF(EDATE($E34,MAX(0,ROUNDUP(((YEAR(M$3)-YEAR($E34))*12+MONTH(M$3)-MONTH($E34))/$G34,0)*$G34))&lt;M$3,EDATE($E34,MAX(0,ROUNDUP(((YEAR(M$3)-YEAR($E34))*12+MONTH(M$3)-MONTH($E34))/$G34,0)*$G34)+$G34),EDATE($E34,MAX(0,ROUNDUP(((YEAR(M$3)-YEAR($E34))*12+MONTH(M$3)-MONTH($E34))/$G34,0)*$G34)))&lt;=IF($F34="",M$4,MIN(M$4,$F34))),1,0)))))</f>
        <v>0</v>
      </c>
      <c r="N34" s="25" t="n">
        <f aca="false">IF(OR($C34="",$C34=0,$E34="",$B34="",$G34=-2),0,$C34*IF($G34=0,IF(IF($F34="",N$4,MIN(N$4,$F34))&lt;$E34,0,MAX(0,INT((IF($F34="",N$4,MIN(N$4,$F34))-$E34)/7)+1-MAX(0,ROUNDUP((N$3-$E34)/7,0)))),IF($G34=101,(AND(EOMONTH(N$3,0)&gt;=MAX(N$3,$E34),EOMONTH(N$3,0)&lt;=IF($F34="",N$4,MIN(N$4,$F34)))*1+AND(EOMONTH(N$4,0)&lt;&gt;EOMONTH(N$3,0),EOMONTH(N$4,0)&gt;=MAX(N$3,$E34),EOMONTH(N$4,0)&lt;=IF($F34="",N$4,MIN(N$4,$F34)))*1),IF($G34=102,(AND(WORKDAY(EOMONTH(N$3,0)+1,-3)&gt;=MAX(N$3,$E34),WORKDAY(EOMONTH(N$3,0)+1,-3)&lt;=IF($F34="",N$4,MIN(N$4,$F34)))*1+AND(WORKDAY(EOMONTH(N$4,0)+1,-3)&lt;&gt;WORKDAY(EOMONTH(N$3,0)+1,-3),WORKDAY(EOMONTH(N$4,0)+1,-3)&gt;=MAX(N$3,$E34),WORKDAY(EOMONTH(N$4,0)+1,-3)&lt;=IF($F34="",N$4,MIN(N$4,$F34)))*1),IF(AND(IF(EDATE($E34,MAX(0,ROUNDUP(((YEAR(N$3)-YEAR($E34))*12+MONTH(N$3)-MONTH($E34))/$G34,0)*$G34))&lt;N$3,EDATE($E34,MAX(0,ROUNDUP(((YEAR(N$3)-YEAR($E34))*12+MONTH(N$3)-MONTH($E34))/$G34,0)*$G34)+$G34),EDATE($E34,MAX(0,ROUNDUP(((YEAR(N$3)-YEAR($E34))*12+MONTH(N$3)-MONTH($E34))/$G34,0)*$G34)))&gt;=N$3,IF(EDATE($E34,MAX(0,ROUNDUP(((YEAR(N$3)-YEAR($E34))*12+MONTH(N$3)-MONTH($E34))/$G34,0)*$G34))&lt;N$3,EDATE($E34,MAX(0,ROUNDUP(((YEAR(N$3)-YEAR($E34))*12+MONTH(N$3)-MONTH($E34))/$G34,0)*$G34)+$G34),EDATE($E34,MAX(0,ROUNDUP(((YEAR(N$3)-YEAR($E34))*12+MONTH(N$3)-MONTH($E34))/$G34,0)*$G34)))&lt;=IF($F34="",N$4,MIN(N$4,$F34))),1,0)))))</f>
        <v>0</v>
      </c>
      <c r="O34" s="25" t="n">
        <f aca="false">IF(OR($C34="",$C34=0,$E34="",$B34="",$G34=-2),0,$C34*IF($G34=0,IF(IF($F34="",O$4,MIN(O$4,$F34))&lt;$E34,0,MAX(0,INT((IF($F34="",O$4,MIN(O$4,$F34))-$E34)/7)+1-MAX(0,ROUNDUP((O$3-$E34)/7,0)))),IF($G34=101,(AND(EOMONTH(O$3,0)&gt;=MAX(O$3,$E34),EOMONTH(O$3,0)&lt;=IF($F34="",O$4,MIN(O$4,$F34)))*1+AND(EOMONTH(O$4,0)&lt;&gt;EOMONTH(O$3,0),EOMONTH(O$4,0)&gt;=MAX(O$3,$E34),EOMONTH(O$4,0)&lt;=IF($F34="",O$4,MIN(O$4,$F34)))*1),IF($G34=102,(AND(WORKDAY(EOMONTH(O$3,0)+1,-3)&gt;=MAX(O$3,$E34),WORKDAY(EOMONTH(O$3,0)+1,-3)&lt;=IF($F34="",O$4,MIN(O$4,$F34)))*1+AND(WORKDAY(EOMONTH(O$4,0)+1,-3)&lt;&gt;WORKDAY(EOMONTH(O$3,0)+1,-3),WORKDAY(EOMONTH(O$4,0)+1,-3)&gt;=MAX(O$3,$E34),WORKDAY(EOMONTH(O$4,0)+1,-3)&lt;=IF($F34="",O$4,MIN(O$4,$F34)))*1),IF(AND(IF(EDATE($E34,MAX(0,ROUNDUP(((YEAR(O$3)-YEAR($E34))*12+MONTH(O$3)-MONTH($E34))/$G34,0)*$G34))&lt;O$3,EDATE($E34,MAX(0,ROUNDUP(((YEAR(O$3)-YEAR($E34))*12+MONTH(O$3)-MONTH($E34))/$G34,0)*$G34)+$G34),EDATE($E34,MAX(0,ROUNDUP(((YEAR(O$3)-YEAR($E34))*12+MONTH(O$3)-MONTH($E34))/$G34,0)*$G34)))&gt;=O$3,IF(EDATE($E34,MAX(0,ROUNDUP(((YEAR(O$3)-YEAR($E34))*12+MONTH(O$3)-MONTH($E34))/$G34,0)*$G34))&lt;O$3,EDATE($E34,MAX(0,ROUNDUP(((YEAR(O$3)-YEAR($E34))*12+MONTH(O$3)-MONTH($E34))/$G34,0)*$G34)+$G34),EDATE($E34,MAX(0,ROUNDUP(((YEAR(O$3)-YEAR($E34))*12+MONTH(O$3)-MONTH($E34))/$G34,0)*$G34)))&lt;=IF($F34="",O$4,MIN(O$4,$F34))),1,0)))))</f>
        <v>0</v>
      </c>
      <c r="P34" s="25" t="n">
        <f aca="false">IF(OR($C34="",$C34=0,$E34="",$B34="",$G34=-2),0,$C34*IF($G34=0,IF(IF($F34="",P$4,MIN(P$4,$F34))&lt;$E34,0,MAX(0,INT((IF($F34="",P$4,MIN(P$4,$F34))-$E34)/7)+1-MAX(0,ROUNDUP((P$3-$E34)/7,0)))),IF($G34=101,(AND(EOMONTH(P$3,0)&gt;=MAX(P$3,$E34),EOMONTH(P$3,0)&lt;=IF($F34="",P$4,MIN(P$4,$F34)))*1+AND(EOMONTH(P$4,0)&lt;&gt;EOMONTH(P$3,0),EOMONTH(P$4,0)&gt;=MAX(P$3,$E34),EOMONTH(P$4,0)&lt;=IF($F34="",P$4,MIN(P$4,$F34)))*1),IF($G34=102,(AND(WORKDAY(EOMONTH(P$3,0)+1,-3)&gt;=MAX(P$3,$E34),WORKDAY(EOMONTH(P$3,0)+1,-3)&lt;=IF($F34="",P$4,MIN(P$4,$F34)))*1+AND(WORKDAY(EOMONTH(P$4,0)+1,-3)&lt;&gt;WORKDAY(EOMONTH(P$3,0)+1,-3),WORKDAY(EOMONTH(P$4,0)+1,-3)&gt;=MAX(P$3,$E34),WORKDAY(EOMONTH(P$4,0)+1,-3)&lt;=IF($F34="",P$4,MIN(P$4,$F34)))*1),IF(AND(IF(EDATE($E34,MAX(0,ROUNDUP(((YEAR(P$3)-YEAR($E34))*12+MONTH(P$3)-MONTH($E34))/$G34,0)*$G34))&lt;P$3,EDATE($E34,MAX(0,ROUNDUP(((YEAR(P$3)-YEAR($E34))*12+MONTH(P$3)-MONTH($E34))/$G34,0)*$G34)+$G34),EDATE($E34,MAX(0,ROUNDUP(((YEAR(P$3)-YEAR($E34))*12+MONTH(P$3)-MONTH($E34))/$G34,0)*$G34)))&gt;=P$3,IF(EDATE($E34,MAX(0,ROUNDUP(((YEAR(P$3)-YEAR($E34))*12+MONTH(P$3)-MONTH($E34))/$G34,0)*$G34))&lt;P$3,EDATE($E34,MAX(0,ROUNDUP(((YEAR(P$3)-YEAR($E34))*12+MONTH(P$3)-MONTH($E34))/$G34,0)*$G34)+$G34),EDATE($E34,MAX(0,ROUNDUP(((YEAR(P$3)-YEAR($E34))*12+MONTH(P$3)-MONTH($E34))/$G34,0)*$G34)))&lt;=IF($F34="",P$4,MIN(P$4,$F34))),1,0)))))</f>
        <v>0</v>
      </c>
      <c r="Q34" s="25" t="n">
        <f aca="false">IF(OR($C34="",$C34=0,$E34="",$B34="",$G34=-2),0,$C34*IF($G34=0,IF(IF($F34="",Q$4,MIN(Q$4,$F34))&lt;$E34,0,MAX(0,INT((IF($F34="",Q$4,MIN(Q$4,$F34))-$E34)/7)+1-MAX(0,ROUNDUP((Q$3-$E34)/7,0)))),IF($G34=101,(AND(EOMONTH(Q$3,0)&gt;=MAX(Q$3,$E34),EOMONTH(Q$3,0)&lt;=IF($F34="",Q$4,MIN(Q$4,$F34)))*1+AND(EOMONTH(Q$4,0)&lt;&gt;EOMONTH(Q$3,0),EOMONTH(Q$4,0)&gt;=MAX(Q$3,$E34),EOMONTH(Q$4,0)&lt;=IF($F34="",Q$4,MIN(Q$4,$F34)))*1),IF($G34=102,(AND(WORKDAY(EOMONTH(Q$3,0)+1,-3)&gt;=MAX(Q$3,$E34),WORKDAY(EOMONTH(Q$3,0)+1,-3)&lt;=IF($F34="",Q$4,MIN(Q$4,$F34)))*1+AND(WORKDAY(EOMONTH(Q$4,0)+1,-3)&lt;&gt;WORKDAY(EOMONTH(Q$3,0)+1,-3),WORKDAY(EOMONTH(Q$4,0)+1,-3)&gt;=MAX(Q$3,$E34),WORKDAY(EOMONTH(Q$4,0)+1,-3)&lt;=IF($F34="",Q$4,MIN(Q$4,$F34)))*1),IF(AND(IF(EDATE($E34,MAX(0,ROUNDUP(((YEAR(Q$3)-YEAR($E34))*12+MONTH(Q$3)-MONTH($E34))/$G34,0)*$G34))&lt;Q$3,EDATE($E34,MAX(0,ROUNDUP(((YEAR(Q$3)-YEAR($E34))*12+MONTH(Q$3)-MONTH($E34))/$G34,0)*$G34)+$G34),EDATE($E34,MAX(0,ROUNDUP(((YEAR(Q$3)-YEAR($E34))*12+MONTH(Q$3)-MONTH($E34))/$G34,0)*$G34)))&gt;=Q$3,IF(EDATE($E34,MAX(0,ROUNDUP(((YEAR(Q$3)-YEAR($E34))*12+MONTH(Q$3)-MONTH($E34))/$G34,0)*$G34))&lt;Q$3,EDATE($E34,MAX(0,ROUNDUP(((YEAR(Q$3)-YEAR($E34))*12+MONTH(Q$3)-MONTH($E34))/$G34,0)*$G34)+$G34),EDATE($E34,MAX(0,ROUNDUP(((YEAR(Q$3)-YEAR($E34))*12+MONTH(Q$3)-MONTH($E34))/$G34,0)*$G34)))&lt;=IF($F34="",Q$4,MIN(Q$4,$F34))),1,0)))))</f>
        <v>0</v>
      </c>
      <c r="R34" s="25" t="n">
        <f aca="false">IF(OR($C34="",$C34=0,$E34="",$B34="",$G34=-2),0,$C34*IF($G34=0,IF(IF($F34="",R$4,MIN(R$4,$F34))&lt;$E34,0,MAX(0,INT((IF($F34="",R$4,MIN(R$4,$F34))-$E34)/7)+1-MAX(0,ROUNDUP((R$3-$E34)/7,0)))),IF($G34=101,(AND(EOMONTH(R$3,0)&gt;=MAX(R$3,$E34),EOMONTH(R$3,0)&lt;=IF($F34="",R$4,MIN(R$4,$F34)))*1+AND(EOMONTH(R$4,0)&lt;&gt;EOMONTH(R$3,0),EOMONTH(R$4,0)&gt;=MAX(R$3,$E34),EOMONTH(R$4,0)&lt;=IF($F34="",R$4,MIN(R$4,$F34)))*1),IF($G34=102,(AND(WORKDAY(EOMONTH(R$3,0)+1,-3)&gt;=MAX(R$3,$E34),WORKDAY(EOMONTH(R$3,0)+1,-3)&lt;=IF($F34="",R$4,MIN(R$4,$F34)))*1+AND(WORKDAY(EOMONTH(R$4,0)+1,-3)&lt;&gt;WORKDAY(EOMONTH(R$3,0)+1,-3),WORKDAY(EOMONTH(R$4,0)+1,-3)&gt;=MAX(R$3,$E34),WORKDAY(EOMONTH(R$4,0)+1,-3)&lt;=IF($F34="",R$4,MIN(R$4,$F34)))*1),IF(AND(IF(EDATE($E34,MAX(0,ROUNDUP(((YEAR(R$3)-YEAR($E34))*12+MONTH(R$3)-MONTH($E34))/$G34,0)*$G34))&lt;R$3,EDATE($E34,MAX(0,ROUNDUP(((YEAR(R$3)-YEAR($E34))*12+MONTH(R$3)-MONTH($E34))/$G34,0)*$G34)+$G34),EDATE($E34,MAX(0,ROUNDUP(((YEAR(R$3)-YEAR($E34))*12+MONTH(R$3)-MONTH($E34))/$G34,0)*$G34)))&gt;=R$3,IF(EDATE($E34,MAX(0,ROUNDUP(((YEAR(R$3)-YEAR($E34))*12+MONTH(R$3)-MONTH($E34))/$G34,0)*$G34))&lt;R$3,EDATE($E34,MAX(0,ROUNDUP(((YEAR(R$3)-YEAR($E34))*12+MONTH(R$3)-MONTH($E34))/$G34,0)*$G34)+$G34),EDATE($E34,MAX(0,ROUNDUP(((YEAR(R$3)-YEAR($E34))*12+MONTH(R$3)-MONTH($E34))/$G34,0)*$G34)))&lt;=IF($F34="",R$4,MIN(R$4,$F34))),1,0)))))</f>
        <v>0</v>
      </c>
      <c r="S34" s="25" t="n">
        <f aca="false">IF(OR($C34="",$C34=0,$E34="",$B34="",$G34=-2),0,$C34*IF($G34=0,IF(IF($F34="",S$4,MIN(S$4,$F34))&lt;$E34,0,MAX(0,INT((IF($F34="",S$4,MIN(S$4,$F34))-$E34)/7)+1-MAX(0,ROUNDUP((S$3-$E34)/7,0)))),IF($G34=101,(AND(EOMONTH(S$3,0)&gt;=MAX(S$3,$E34),EOMONTH(S$3,0)&lt;=IF($F34="",S$4,MIN(S$4,$F34)))*1+AND(EOMONTH(S$4,0)&lt;&gt;EOMONTH(S$3,0),EOMONTH(S$4,0)&gt;=MAX(S$3,$E34),EOMONTH(S$4,0)&lt;=IF($F34="",S$4,MIN(S$4,$F34)))*1),IF($G34=102,(AND(WORKDAY(EOMONTH(S$3,0)+1,-3)&gt;=MAX(S$3,$E34),WORKDAY(EOMONTH(S$3,0)+1,-3)&lt;=IF($F34="",S$4,MIN(S$4,$F34)))*1+AND(WORKDAY(EOMONTH(S$4,0)+1,-3)&lt;&gt;WORKDAY(EOMONTH(S$3,0)+1,-3),WORKDAY(EOMONTH(S$4,0)+1,-3)&gt;=MAX(S$3,$E34),WORKDAY(EOMONTH(S$4,0)+1,-3)&lt;=IF($F34="",S$4,MIN(S$4,$F34)))*1),IF(AND(IF(EDATE($E34,MAX(0,ROUNDUP(((YEAR(S$3)-YEAR($E34))*12+MONTH(S$3)-MONTH($E34))/$G34,0)*$G34))&lt;S$3,EDATE($E34,MAX(0,ROUNDUP(((YEAR(S$3)-YEAR($E34))*12+MONTH(S$3)-MONTH($E34))/$G34,0)*$G34)+$G34),EDATE($E34,MAX(0,ROUNDUP(((YEAR(S$3)-YEAR($E34))*12+MONTH(S$3)-MONTH($E34))/$G34,0)*$G34)))&gt;=S$3,IF(EDATE($E34,MAX(0,ROUNDUP(((YEAR(S$3)-YEAR($E34))*12+MONTH(S$3)-MONTH($E34))/$G34,0)*$G34))&lt;S$3,EDATE($E34,MAX(0,ROUNDUP(((YEAR(S$3)-YEAR($E34))*12+MONTH(S$3)-MONTH($E34))/$G34,0)*$G34)+$G34),EDATE($E34,MAX(0,ROUNDUP(((YEAR(S$3)-YEAR($E34))*12+MONTH(S$3)-MONTH($E34))/$G34,0)*$G34)))&lt;=IF($F34="",S$4,MIN(S$4,$F34))),1,0)))))</f>
        <v>0</v>
      </c>
      <c r="T34" s="25" t="n">
        <f aca="false">IF(OR($C34="",$C34=0,$E34="",$B34="",$G34=-2),0,$C34*IF($G34=0,IF(IF($F34="",T$4,MIN(T$4,$F34))&lt;$E34,0,MAX(0,INT((IF($F34="",T$4,MIN(T$4,$F34))-$E34)/7)+1-MAX(0,ROUNDUP((T$3-$E34)/7,0)))),IF($G34=101,(AND(EOMONTH(T$3,0)&gt;=MAX(T$3,$E34),EOMONTH(T$3,0)&lt;=IF($F34="",T$4,MIN(T$4,$F34)))*1+AND(EOMONTH(T$4,0)&lt;&gt;EOMONTH(T$3,0),EOMONTH(T$4,0)&gt;=MAX(T$3,$E34),EOMONTH(T$4,0)&lt;=IF($F34="",T$4,MIN(T$4,$F34)))*1),IF($G34=102,(AND(WORKDAY(EOMONTH(T$3,0)+1,-3)&gt;=MAX(T$3,$E34),WORKDAY(EOMONTH(T$3,0)+1,-3)&lt;=IF($F34="",T$4,MIN(T$4,$F34)))*1+AND(WORKDAY(EOMONTH(T$4,0)+1,-3)&lt;&gt;WORKDAY(EOMONTH(T$3,0)+1,-3),WORKDAY(EOMONTH(T$4,0)+1,-3)&gt;=MAX(T$3,$E34),WORKDAY(EOMONTH(T$4,0)+1,-3)&lt;=IF($F34="",T$4,MIN(T$4,$F34)))*1),IF(AND(IF(EDATE($E34,MAX(0,ROUNDUP(((YEAR(T$3)-YEAR($E34))*12+MONTH(T$3)-MONTH($E34))/$G34,0)*$G34))&lt;T$3,EDATE($E34,MAX(0,ROUNDUP(((YEAR(T$3)-YEAR($E34))*12+MONTH(T$3)-MONTH($E34))/$G34,0)*$G34)+$G34),EDATE($E34,MAX(0,ROUNDUP(((YEAR(T$3)-YEAR($E34))*12+MONTH(T$3)-MONTH($E34))/$G34,0)*$G34)))&gt;=T$3,IF(EDATE($E34,MAX(0,ROUNDUP(((YEAR(T$3)-YEAR($E34))*12+MONTH(T$3)-MONTH($E34))/$G34,0)*$G34))&lt;T$3,EDATE($E34,MAX(0,ROUNDUP(((YEAR(T$3)-YEAR($E34))*12+MONTH(T$3)-MONTH($E34))/$G34,0)*$G34)+$G34),EDATE($E34,MAX(0,ROUNDUP(((YEAR(T$3)-YEAR($E34))*12+MONTH(T$3)-MONTH($E34))/$G34,0)*$G34)))&lt;=IF($F34="",T$4,MIN(T$4,$F34))),1,0)))))</f>
        <v>0</v>
      </c>
      <c r="U34" s="25" t="n">
        <f aca="false">IF(OR($C34="",$C34=0,$E34="",$B34="",$G34=-2),0,$C34*IF($G34=0,IF(IF($F34="",U$4,MIN(U$4,$F34))&lt;$E34,0,MAX(0,INT((IF($F34="",U$4,MIN(U$4,$F34))-$E34)/7)+1-MAX(0,ROUNDUP((U$3-$E34)/7,0)))),IF($G34=101,(AND(EOMONTH(U$3,0)&gt;=MAX(U$3,$E34),EOMONTH(U$3,0)&lt;=IF($F34="",U$4,MIN(U$4,$F34)))*1+AND(EOMONTH(U$4,0)&lt;&gt;EOMONTH(U$3,0),EOMONTH(U$4,0)&gt;=MAX(U$3,$E34),EOMONTH(U$4,0)&lt;=IF($F34="",U$4,MIN(U$4,$F34)))*1),IF($G34=102,(AND(WORKDAY(EOMONTH(U$3,0)+1,-3)&gt;=MAX(U$3,$E34),WORKDAY(EOMONTH(U$3,0)+1,-3)&lt;=IF($F34="",U$4,MIN(U$4,$F34)))*1+AND(WORKDAY(EOMONTH(U$4,0)+1,-3)&lt;&gt;WORKDAY(EOMONTH(U$3,0)+1,-3),WORKDAY(EOMONTH(U$4,0)+1,-3)&gt;=MAX(U$3,$E34),WORKDAY(EOMONTH(U$4,0)+1,-3)&lt;=IF($F34="",U$4,MIN(U$4,$F34)))*1),IF(AND(IF(EDATE($E34,MAX(0,ROUNDUP(((YEAR(U$3)-YEAR($E34))*12+MONTH(U$3)-MONTH($E34))/$G34,0)*$G34))&lt;U$3,EDATE($E34,MAX(0,ROUNDUP(((YEAR(U$3)-YEAR($E34))*12+MONTH(U$3)-MONTH($E34))/$G34,0)*$G34)+$G34),EDATE($E34,MAX(0,ROUNDUP(((YEAR(U$3)-YEAR($E34))*12+MONTH(U$3)-MONTH($E34))/$G34,0)*$G34)))&gt;=U$3,IF(EDATE($E34,MAX(0,ROUNDUP(((YEAR(U$3)-YEAR($E34))*12+MONTH(U$3)-MONTH($E34))/$G34,0)*$G34))&lt;U$3,EDATE($E34,MAX(0,ROUNDUP(((YEAR(U$3)-YEAR($E34))*12+MONTH(U$3)-MONTH($E34))/$G34,0)*$G34)+$G34),EDATE($E34,MAX(0,ROUNDUP(((YEAR(U$3)-YEAR($E34))*12+MONTH(U$3)-MONTH($E34))/$G34,0)*$G34)))&lt;=IF($F34="",U$4,MIN(U$4,$F34))),1,0)))))</f>
        <v>0</v>
      </c>
      <c r="V34" s="25" t="n">
        <f aca="false">IF(OR($C34="",$C34=0,$E34="",$B34="",$G34=-2),0,$C34*IF($G34=0,IF(IF($F34="",V$4,MIN(V$4,$F34))&lt;$E34,0,MAX(0,INT((IF($F34="",V$4,MIN(V$4,$F34))-$E34)/7)+1-MAX(0,ROUNDUP((V$3-$E34)/7,0)))),IF($G34=101,(AND(EOMONTH(V$3,0)&gt;=MAX(V$3,$E34),EOMONTH(V$3,0)&lt;=IF($F34="",V$4,MIN(V$4,$F34)))*1+AND(EOMONTH(V$4,0)&lt;&gt;EOMONTH(V$3,0),EOMONTH(V$4,0)&gt;=MAX(V$3,$E34),EOMONTH(V$4,0)&lt;=IF($F34="",V$4,MIN(V$4,$F34)))*1),IF($G34=102,(AND(WORKDAY(EOMONTH(V$3,0)+1,-3)&gt;=MAX(V$3,$E34),WORKDAY(EOMONTH(V$3,0)+1,-3)&lt;=IF($F34="",V$4,MIN(V$4,$F34)))*1+AND(WORKDAY(EOMONTH(V$4,0)+1,-3)&lt;&gt;WORKDAY(EOMONTH(V$3,0)+1,-3),WORKDAY(EOMONTH(V$4,0)+1,-3)&gt;=MAX(V$3,$E34),WORKDAY(EOMONTH(V$4,0)+1,-3)&lt;=IF($F34="",V$4,MIN(V$4,$F34)))*1),IF(AND(IF(EDATE($E34,MAX(0,ROUNDUP(((YEAR(V$3)-YEAR($E34))*12+MONTH(V$3)-MONTH($E34))/$G34,0)*$G34))&lt;V$3,EDATE($E34,MAX(0,ROUNDUP(((YEAR(V$3)-YEAR($E34))*12+MONTH(V$3)-MONTH($E34))/$G34,0)*$G34)+$G34),EDATE($E34,MAX(0,ROUNDUP(((YEAR(V$3)-YEAR($E34))*12+MONTH(V$3)-MONTH($E34))/$G34,0)*$G34)))&gt;=V$3,IF(EDATE($E34,MAX(0,ROUNDUP(((YEAR(V$3)-YEAR($E34))*12+MONTH(V$3)-MONTH($E34))/$G34,0)*$G34))&lt;V$3,EDATE($E34,MAX(0,ROUNDUP(((YEAR(V$3)-YEAR($E34))*12+MONTH(V$3)-MONTH($E34))/$G34,0)*$G34)+$G34),EDATE($E34,MAX(0,ROUNDUP(((YEAR(V$3)-YEAR($E34))*12+MONTH(V$3)-MONTH($E34))/$G34,0)*$G34)))&lt;=IF($F34="",V$4,MIN(V$4,$F34))),1,0)))))</f>
        <v>0</v>
      </c>
      <c r="W34" s="25" t="n">
        <f aca="false">IF(OR($C34="",$C34=0,$E34="",$B34="",$G34=-2),0,$C34*IF($G34=0,IF(IF($F34="",W$4,MIN(W$4,$F34))&lt;$E34,0,MAX(0,INT((IF($F34="",W$4,MIN(W$4,$F34))-$E34)/7)+1-MAX(0,ROUNDUP((W$3-$E34)/7,0)))),IF($G34=101,(AND(EOMONTH(W$3,0)&gt;=MAX(W$3,$E34),EOMONTH(W$3,0)&lt;=IF($F34="",W$4,MIN(W$4,$F34)))*1+AND(EOMONTH(W$4,0)&lt;&gt;EOMONTH(W$3,0),EOMONTH(W$4,0)&gt;=MAX(W$3,$E34),EOMONTH(W$4,0)&lt;=IF($F34="",W$4,MIN(W$4,$F34)))*1),IF($G34=102,(AND(WORKDAY(EOMONTH(W$3,0)+1,-3)&gt;=MAX(W$3,$E34),WORKDAY(EOMONTH(W$3,0)+1,-3)&lt;=IF($F34="",W$4,MIN(W$4,$F34)))*1+AND(WORKDAY(EOMONTH(W$4,0)+1,-3)&lt;&gt;WORKDAY(EOMONTH(W$3,0)+1,-3),WORKDAY(EOMONTH(W$4,0)+1,-3)&gt;=MAX(W$3,$E34),WORKDAY(EOMONTH(W$4,0)+1,-3)&lt;=IF($F34="",W$4,MIN(W$4,$F34)))*1),IF(AND(IF(EDATE($E34,MAX(0,ROUNDUP(((YEAR(W$3)-YEAR($E34))*12+MONTH(W$3)-MONTH($E34))/$G34,0)*$G34))&lt;W$3,EDATE($E34,MAX(0,ROUNDUP(((YEAR(W$3)-YEAR($E34))*12+MONTH(W$3)-MONTH($E34))/$G34,0)*$G34)+$G34),EDATE($E34,MAX(0,ROUNDUP(((YEAR(W$3)-YEAR($E34))*12+MONTH(W$3)-MONTH($E34))/$G34,0)*$G34)))&gt;=W$3,IF(EDATE($E34,MAX(0,ROUNDUP(((YEAR(W$3)-YEAR($E34))*12+MONTH(W$3)-MONTH($E34))/$G34,0)*$G34))&lt;W$3,EDATE($E34,MAX(0,ROUNDUP(((YEAR(W$3)-YEAR($E34))*12+MONTH(W$3)-MONTH($E34))/$G34,0)*$G34)+$G34),EDATE($E34,MAX(0,ROUNDUP(((YEAR(W$3)-YEAR($E34))*12+MONTH(W$3)-MONTH($E34))/$G34,0)*$G34)))&lt;=IF($F34="",W$4,MIN(W$4,$F34))),1,0)))))</f>
        <v>0</v>
      </c>
      <c r="X34" s="25" t="n">
        <f aca="false">IF(OR($C34="",$C34=0,$E34="",$B34="",$G34=-2),0,$C34*IF($G34=0,IF(IF($F34="",X$4,MIN(X$4,$F34))&lt;$E34,0,MAX(0,INT((IF($F34="",X$4,MIN(X$4,$F34))-$E34)/7)+1-MAX(0,ROUNDUP((X$3-$E34)/7,0)))),IF($G34=101,(AND(EOMONTH(X$3,0)&gt;=MAX(X$3,$E34),EOMONTH(X$3,0)&lt;=IF($F34="",X$4,MIN(X$4,$F34)))*1+AND(EOMONTH(X$4,0)&lt;&gt;EOMONTH(X$3,0),EOMONTH(X$4,0)&gt;=MAX(X$3,$E34),EOMONTH(X$4,0)&lt;=IF($F34="",X$4,MIN(X$4,$F34)))*1),IF($G34=102,(AND(WORKDAY(EOMONTH(X$3,0)+1,-3)&gt;=MAX(X$3,$E34),WORKDAY(EOMONTH(X$3,0)+1,-3)&lt;=IF($F34="",X$4,MIN(X$4,$F34)))*1+AND(WORKDAY(EOMONTH(X$4,0)+1,-3)&lt;&gt;WORKDAY(EOMONTH(X$3,0)+1,-3),WORKDAY(EOMONTH(X$4,0)+1,-3)&gt;=MAX(X$3,$E34),WORKDAY(EOMONTH(X$4,0)+1,-3)&lt;=IF($F34="",X$4,MIN(X$4,$F34)))*1),IF(AND(IF(EDATE($E34,MAX(0,ROUNDUP(((YEAR(X$3)-YEAR($E34))*12+MONTH(X$3)-MONTH($E34))/$G34,0)*$G34))&lt;X$3,EDATE($E34,MAX(0,ROUNDUP(((YEAR(X$3)-YEAR($E34))*12+MONTH(X$3)-MONTH($E34))/$G34,0)*$G34)+$G34),EDATE($E34,MAX(0,ROUNDUP(((YEAR(X$3)-YEAR($E34))*12+MONTH(X$3)-MONTH($E34))/$G34,0)*$G34)))&gt;=X$3,IF(EDATE($E34,MAX(0,ROUNDUP(((YEAR(X$3)-YEAR($E34))*12+MONTH(X$3)-MONTH($E34))/$G34,0)*$G34))&lt;X$3,EDATE($E34,MAX(0,ROUNDUP(((YEAR(X$3)-YEAR($E34))*12+MONTH(X$3)-MONTH($E34))/$G34,0)*$G34)+$G34),EDATE($E34,MAX(0,ROUNDUP(((YEAR(X$3)-YEAR($E34))*12+MONTH(X$3)-MONTH($E34))/$G34,0)*$G34)))&lt;=IF($F34="",X$4,MIN(X$4,$F34))),1,0)))))</f>
        <v>0</v>
      </c>
      <c r="Y34" s="25" t="n">
        <f aca="false">IF(OR($C34="",$C34=0,$E34="",$B34="",$G34=-2),0,$C34*IF($G34=0,IF(IF($F34="",Y$4,MIN(Y$4,$F34))&lt;$E34,0,MAX(0,INT((IF($F34="",Y$4,MIN(Y$4,$F34))-$E34)/7)+1-MAX(0,ROUNDUP((Y$3-$E34)/7,0)))),IF($G34=101,(AND(EOMONTH(Y$3,0)&gt;=MAX(Y$3,$E34),EOMONTH(Y$3,0)&lt;=IF($F34="",Y$4,MIN(Y$4,$F34)))*1+AND(EOMONTH(Y$4,0)&lt;&gt;EOMONTH(Y$3,0),EOMONTH(Y$4,0)&gt;=MAX(Y$3,$E34),EOMONTH(Y$4,0)&lt;=IF($F34="",Y$4,MIN(Y$4,$F34)))*1),IF($G34=102,(AND(WORKDAY(EOMONTH(Y$3,0)+1,-3)&gt;=MAX(Y$3,$E34),WORKDAY(EOMONTH(Y$3,0)+1,-3)&lt;=IF($F34="",Y$4,MIN(Y$4,$F34)))*1+AND(WORKDAY(EOMONTH(Y$4,0)+1,-3)&lt;&gt;WORKDAY(EOMONTH(Y$3,0)+1,-3),WORKDAY(EOMONTH(Y$4,0)+1,-3)&gt;=MAX(Y$3,$E34),WORKDAY(EOMONTH(Y$4,0)+1,-3)&lt;=IF($F34="",Y$4,MIN(Y$4,$F34)))*1),IF(AND(IF(EDATE($E34,MAX(0,ROUNDUP(((YEAR(Y$3)-YEAR($E34))*12+MONTH(Y$3)-MONTH($E34))/$G34,0)*$G34))&lt;Y$3,EDATE($E34,MAX(0,ROUNDUP(((YEAR(Y$3)-YEAR($E34))*12+MONTH(Y$3)-MONTH($E34))/$G34,0)*$G34)+$G34),EDATE($E34,MAX(0,ROUNDUP(((YEAR(Y$3)-YEAR($E34))*12+MONTH(Y$3)-MONTH($E34))/$G34,0)*$G34)))&gt;=Y$3,IF(EDATE($E34,MAX(0,ROUNDUP(((YEAR(Y$3)-YEAR($E34))*12+MONTH(Y$3)-MONTH($E34))/$G34,0)*$G34))&lt;Y$3,EDATE($E34,MAX(0,ROUNDUP(((YEAR(Y$3)-YEAR($E34))*12+MONTH(Y$3)-MONTH($E34))/$G34,0)*$G34)+$G34),EDATE($E34,MAX(0,ROUNDUP(((YEAR(Y$3)-YEAR($E34))*12+MONTH(Y$3)-MONTH($E34))/$G34,0)*$G34)))&lt;=IF($F34="",Y$4,MIN(Y$4,$F34))),1,0)))))</f>
        <v>0</v>
      </c>
      <c r="Z34" s="25" t="n">
        <f aca="false">IF(OR($C34="",$C34=0,$E34="",$B34="",$G34=-2),0,$C34*IF($G34=0,IF(IF($F34="",Z$4,MIN(Z$4,$F34))&lt;$E34,0,MAX(0,INT((IF($F34="",Z$4,MIN(Z$4,$F34))-$E34)/7)+1-MAX(0,ROUNDUP((Z$3-$E34)/7,0)))),IF($G34=101,(AND(EOMONTH(Z$3,0)&gt;=MAX(Z$3,$E34),EOMONTH(Z$3,0)&lt;=IF($F34="",Z$4,MIN(Z$4,$F34)))*1+AND(EOMONTH(Z$4,0)&lt;&gt;EOMONTH(Z$3,0),EOMONTH(Z$4,0)&gt;=MAX(Z$3,$E34),EOMONTH(Z$4,0)&lt;=IF($F34="",Z$4,MIN(Z$4,$F34)))*1),IF($G34=102,(AND(WORKDAY(EOMONTH(Z$3,0)+1,-3)&gt;=MAX(Z$3,$E34),WORKDAY(EOMONTH(Z$3,0)+1,-3)&lt;=IF($F34="",Z$4,MIN(Z$4,$F34)))*1+AND(WORKDAY(EOMONTH(Z$4,0)+1,-3)&lt;&gt;WORKDAY(EOMONTH(Z$3,0)+1,-3),WORKDAY(EOMONTH(Z$4,0)+1,-3)&gt;=MAX(Z$3,$E34),WORKDAY(EOMONTH(Z$4,0)+1,-3)&lt;=IF($F34="",Z$4,MIN(Z$4,$F34)))*1),IF(AND(IF(EDATE($E34,MAX(0,ROUNDUP(((YEAR(Z$3)-YEAR($E34))*12+MONTH(Z$3)-MONTH($E34))/$G34,0)*$G34))&lt;Z$3,EDATE($E34,MAX(0,ROUNDUP(((YEAR(Z$3)-YEAR($E34))*12+MONTH(Z$3)-MONTH($E34))/$G34,0)*$G34)+$G34),EDATE($E34,MAX(0,ROUNDUP(((YEAR(Z$3)-YEAR($E34))*12+MONTH(Z$3)-MONTH($E34))/$G34,0)*$G34)))&gt;=Z$3,IF(EDATE($E34,MAX(0,ROUNDUP(((YEAR(Z$3)-YEAR($E34))*12+MONTH(Z$3)-MONTH($E34))/$G34,0)*$G34))&lt;Z$3,EDATE($E34,MAX(0,ROUNDUP(((YEAR(Z$3)-YEAR($E34))*12+MONTH(Z$3)-MONTH($E34))/$G34,0)*$G34)+$G34),EDATE($E34,MAX(0,ROUNDUP(((YEAR(Z$3)-YEAR($E34))*12+MONTH(Z$3)-MONTH($E34))/$G34,0)*$G34)))&lt;=IF($F34="",Z$4,MIN(Z$4,$F34))),1,0)))))</f>
        <v>0</v>
      </c>
      <c r="AA34" s="25" t="n">
        <f aca="false">IF(OR($C34="",$C34=0,$E34="",$B34="",$G34=-2),0,$C34*IF($G34=0,IF(IF($F34="",AA$4,MIN(AA$4,$F34))&lt;$E34,0,MAX(0,INT((IF($F34="",AA$4,MIN(AA$4,$F34))-$E34)/7)+1-MAX(0,ROUNDUP((AA$3-$E34)/7,0)))),IF($G34=101,(AND(EOMONTH(AA$3,0)&gt;=MAX(AA$3,$E34),EOMONTH(AA$3,0)&lt;=IF($F34="",AA$4,MIN(AA$4,$F34)))*1+AND(EOMONTH(AA$4,0)&lt;&gt;EOMONTH(AA$3,0),EOMONTH(AA$4,0)&gt;=MAX(AA$3,$E34),EOMONTH(AA$4,0)&lt;=IF($F34="",AA$4,MIN(AA$4,$F34)))*1),IF($G34=102,(AND(WORKDAY(EOMONTH(AA$3,0)+1,-3)&gt;=MAX(AA$3,$E34),WORKDAY(EOMONTH(AA$3,0)+1,-3)&lt;=IF($F34="",AA$4,MIN(AA$4,$F34)))*1+AND(WORKDAY(EOMONTH(AA$4,0)+1,-3)&lt;&gt;WORKDAY(EOMONTH(AA$3,0)+1,-3),WORKDAY(EOMONTH(AA$4,0)+1,-3)&gt;=MAX(AA$3,$E34),WORKDAY(EOMONTH(AA$4,0)+1,-3)&lt;=IF($F34="",AA$4,MIN(AA$4,$F34)))*1),IF(AND(IF(EDATE($E34,MAX(0,ROUNDUP(((YEAR(AA$3)-YEAR($E34))*12+MONTH(AA$3)-MONTH($E34))/$G34,0)*$G34))&lt;AA$3,EDATE($E34,MAX(0,ROUNDUP(((YEAR(AA$3)-YEAR($E34))*12+MONTH(AA$3)-MONTH($E34))/$G34,0)*$G34)+$G34),EDATE($E34,MAX(0,ROUNDUP(((YEAR(AA$3)-YEAR($E34))*12+MONTH(AA$3)-MONTH($E34))/$G34,0)*$G34)))&gt;=AA$3,IF(EDATE($E34,MAX(0,ROUNDUP(((YEAR(AA$3)-YEAR($E34))*12+MONTH(AA$3)-MONTH($E34))/$G34,0)*$G34))&lt;AA$3,EDATE($E34,MAX(0,ROUNDUP(((YEAR(AA$3)-YEAR($E34))*12+MONTH(AA$3)-MONTH($E34))/$G34,0)*$G34)+$G34),EDATE($E34,MAX(0,ROUNDUP(((YEAR(AA$3)-YEAR($E34))*12+MONTH(AA$3)-MONTH($E34))/$G34,0)*$G34)))&lt;=IF($F34="",AA$4,MIN(AA$4,$F34))),1,0)))))</f>
        <v>0</v>
      </c>
      <c r="AB34" s="25" t="n">
        <f aca="false">IF(OR($C34="",$C34=0,$E34="",$B34="",$G34=-2),0,$C34*IF($G34=0,IF(IF($F34="",AB$4,MIN(AB$4,$F34))&lt;$E34,0,MAX(0,INT((IF($F34="",AB$4,MIN(AB$4,$F34))-$E34)/7)+1-MAX(0,ROUNDUP((AB$3-$E34)/7,0)))),IF($G34=101,(AND(EOMONTH(AB$3,0)&gt;=MAX(AB$3,$E34),EOMONTH(AB$3,0)&lt;=IF($F34="",AB$4,MIN(AB$4,$F34)))*1+AND(EOMONTH(AB$4,0)&lt;&gt;EOMONTH(AB$3,0),EOMONTH(AB$4,0)&gt;=MAX(AB$3,$E34),EOMONTH(AB$4,0)&lt;=IF($F34="",AB$4,MIN(AB$4,$F34)))*1),IF($G34=102,(AND(WORKDAY(EOMONTH(AB$3,0)+1,-3)&gt;=MAX(AB$3,$E34),WORKDAY(EOMONTH(AB$3,0)+1,-3)&lt;=IF($F34="",AB$4,MIN(AB$4,$F34)))*1+AND(WORKDAY(EOMONTH(AB$4,0)+1,-3)&lt;&gt;WORKDAY(EOMONTH(AB$3,0)+1,-3),WORKDAY(EOMONTH(AB$4,0)+1,-3)&gt;=MAX(AB$3,$E34),WORKDAY(EOMONTH(AB$4,0)+1,-3)&lt;=IF($F34="",AB$4,MIN(AB$4,$F34)))*1),IF(AND(IF(EDATE($E34,MAX(0,ROUNDUP(((YEAR(AB$3)-YEAR($E34))*12+MONTH(AB$3)-MONTH($E34))/$G34,0)*$G34))&lt;AB$3,EDATE($E34,MAX(0,ROUNDUP(((YEAR(AB$3)-YEAR($E34))*12+MONTH(AB$3)-MONTH($E34))/$G34,0)*$G34)+$G34),EDATE($E34,MAX(0,ROUNDUP(((YEAR(AB$3)-YEAR($E34))*12+MONTH(AB$3)-MONTH($E34))/$G34,0)*$G34)))&gt;=AB$3,IF(EDATE($E34,MAX(0,ROUNDUP(((YEAR(AB$3)-YEAR($E34))*12+MONTH(AB$3)-MONTH($E34))/$G34,0)*$G34))&lt;AB$3,EDATE($E34,MAX(0,ROUNDUP(((YEAR(AB$3)-YEAR($E34))*12+MONTH(AB$3)-MONTH($E34))/$G34,0)*$G34)+$G34),EDATE($E34,MAX(0,ROUNDUP(((YEAR(AB$3)-YEAR($E34))*12+MONTH(AB$3)-MONTH($E34))/$G34,0)*$G34)))&lt;=IF($F34="",AB$4,MIN(AB$4,$F34))),1,0)))))</f>
        <v>0</v>
      </c>
      <c r="AC34" s="25" t="n">
        <f aca="false">IF(OR($C34="",$C34=0,$E34="",$B34="",$G34=-2),0,$C34*IF($G34=0,IF(IF($F34="",AC$4,MIN(AC$4,$F34))&lt;$E34,0,MAX(0,INT((IF($F34="",AC$4,MIN(AC$4,$F34))-$E34)/7)+1-MAX(0,ROUNDUP((AC$3-$E34)/7,0)))),IF($G34=101,(AND(EOMONTH(AC$3,0)&gt;=MAX(AC$3,$E34),EOMONTH(AC$3,0)&lt;=IF($F34="",AC$4,MIN(AC$4,$F34)))*1+AND(EOMONTH(AC$4,0)&lt;&gt;EOMONTH(AC$3,0),EOMONTH(AC$4,0)&gt;=MAX(AC$3,$E34),EOMONTH(AC$4,0)&lt;=IF($F34="",AC$4,MIN(AC$4,$F34)))*1),IF($G34=102,(AND(WORKDAY(EOMONTH(AC$3,0)+1,-3)&gt;=MAX(AC$3,$E34),WORKDAY(EOMONTH(AC$3,0)+1,-3)&lt;=IF($F34="",AC$4,MIN(AC$4,$F34)))*1+AND(WORKDAY(EOMONTH(AC$4,0)+1,-3)&lt;&gt;WORKDAY(EOMONTH(AC$3,0)+1,-3),WORKDAY(EOMONTH(AC$4,0)+1,-3)&gt;=MAX(AC$3,$E34),WORKDAY(EOMONTH(AC$4,0)+1,-3)&lt;=IF($F34="",AC$4,MIN(AC$4,$F34)))*1),IF(AND(IF(EDATE($E34,MAX(0,ROUNDUP(((YEAR(AC$3)-YEAR($E34))*12+MONTH(AC$3)-MONTH($E34))/$G34,0)*$G34))&lt;AC$3,EDATE($E34,MAX(0,ROUNDUP(((YEAR(AC$3)-YEAR($E34))*12+MONTH(AC$3)-MONTH($E34))/$G34,0)*$G34)+$G34),EDATE($E34,MAX(0,ROUNDUP(((YEAR(AC$3)-YEAR($E34))*12+MONTH(AC$3)-MONTH($E34))/$G34,0)*$G34)))&gt;=AC$3,IF(EDATE($E34,MAX(0,ROUNDUP(((YEAR(AC$3)-YEAR($E34))*12+MONTH(AC$3)-MONTH($E34))/$G34,0)*$G34))&lt;AC$3,EDATE($E34,MAX(0,ROUNDUP(((YEAR(AC$3)-YEAR($E34))*12+MONTH(AC$3)-MONTH($E34))/$G34,0)*$G34)+$G34),EDATE($E34,MAX(0,ROUNDUP(((YEAR(AC$3)-YEAR($E34))*12+MONTH(AC$3)-MONTH($E34))/$G34,0)*$G34)))&lt;=IF($F34="",AC$4,MIN(AC$4,$F34))),1,0)))))</f>
        <v>0</v>
      </c>
      <c r="AD34" s="25" t="n">
        <f aca="false">IF(OR($C34="",$C34=0,$E34="",$B34="",$G34=-2),0,$C34*IF($G34=0,IF(IF($F34="",AD$4,MIN(AD$4,$F34))&lt;$E34,0,MAX(0,INT((IF($F34="",AD$4,MIN(AD$4,$F34))-$E34)/7)+1-MAX(0,ROUNDUP((AD$3-$E34)/7,0)))),IF($G34=101,(AND(EOMONTH(AD$3,0)&gt;=MAX(AD$3,$E34),EOMONTH(AD$3,0)&lt;=IF($F34="",AD$4,MIN(AD$4,$F34)))*1+AND(EOMONTH(AD$4,0)&lt;&gt;EOMONTH(AD$3,0),EOMONTH(AD$4,0)&gt;=MAX(AD$3,$E34),EOMONTH(AD$4,0)&lt;=IF($F34="",AD$4,MIN(AD$4,$F34)))*1),IF($G34=102,(AND(WORKDAY(EOMONTH(AD$3,0)+1,-3)&gt;=MAX(AD$3,$E34),WORKDAY(EOMONTH(AD$3,0)+1,-3)&lt;=IF($F34="",AD$4,MIN(AD$4,$F34)))*1+AND(WORKDAY(EOMONTH(AD$4,0)+1,-3)&lt;&gt;WORKDAY(EOMONTH(AD$3,0)+1,-3),WORKDAY(EOMONTH(AD$4,0)+1,-3)&gt;=MAX(AD$3,$E34),WORKDAY(EOMONTH(AD$4,0)+1,-3)&lt;=IF($F34="",AD$4,MIN(AD$4,$F34)))*1),IF(AND(IF(EDATE($E34,MAX(0,ROUNDUP(((YEAR(AD$3)-YEAR($E34))*12+MONTH(AD$3)-MONTH($E34))/$G34,0)*$G34))&lt;AD$3,EDATE($E34,MAX(0,ROUNDUP(((YEAR(AD$3)-YEAR($E34))*12+MONTH(AD$3)-MONTH($E34))/$G34,0)*$G34)+$G34),EDATE($E34,MAX(0,ROUNDUP(((YEAR(AD$3)-YEAR($E34))*12+MONTH(AD$3)-MONTH($E34))/$G34,0)*$G34)))&gt;=AD$3,IF(EDATE($E34,MAX(0,ROUNDUP(((YEAR(AD$3)-YEAR($E34))*12+MONTH(AD$3)-MONTH($E34))/$G34,0)*$G34))&lt;AD$3,EDATE($E34,MAX(0,ROUNDUP(((YEAR(AD$3)-YEAR($E34))*12+MONTH(AD$3)-MONTH($E34))/$G34,0)*$G34)+$G34),EDATE($E34,MAX(0,ROUNDUP(((YEAR(AD$3)-YEAR($E34))*12+MONTH(AD$3)-MONTH($E34))/$G34,0)*$G34)))&lt;=IF($F34="",AD$4,MIN(AD$4,$F34))),1,0)))))</f>
        <v>0</v>
      </c>
      <c r="AE34" s="25" t="n">
        <f aca="false">IF(OR($C34="",$C34=0,$E34="",$B34="",$G34=-2),0,$C34*IF($G34=0,IF(IF($F34="",AE$4,MIN(AE$4,$F34))&lt;$E34,0,MAX(0,INT((IF($F34="",AE$4,MIN(AE$4,$F34))-$E34)/7)+1-MAX(0,ROUNDUP((AE$3-$E34)/7,0)))),IF($G34=101,(AND(EOMONTH(AE$3,0)&gt;=MAX(AE$3,$E34),EOMONTH(AE$3,0)&lt;=IF($F34="",AE$4,MIN(AE$4,$F34)))*1+AND(EOMONTH(AE$4,0)&lt;&gt;EOMONTH(AE$3,0),EOMONTH(AE$4,0)&gt;=MAX(AE$3,$E34),EOMONTH(AE$4,0)&lt;=IF($F34="",AE$4,MIN(AE$4,$F34)))*1),IF($G34=102,(AND(WORKDAY(EOMONTH(AE$3,0)+1,-3)&gt;=MAX(AE$3,$E34),WORKDAY(EOMONTH(AE$3,0)+1,-3)&lt;=IF($F34="",AE$4,MIN(AE$4,$F34)))*1+AND(WORKDAY(EOMONTH(AE$4,0)+1,-3)&lt;&gt;WORKDAY(EOMONTH(AE$3,0)+1,-3),WORKDAY(EOMONTH(AE$4,0)+1,-3)&gt;=MAX(AE$3,$E34),WORKDAY(EOMONTH(AE$4,0)+1,-3)&lt;=IF($F34="",AE$4,MIN(AE$4,$F34)))*1),IF(AND(IF(EDATE($E34,MAX(0,ROUNDUP(((YEAR(AE$3)-YEAR($E34))*12+MONTH(AE$3)-MONTH($E34))/$G34,0)*$G34))&lt;AE$3,EDATE($E34,MAX(0,ROUNDUP(((YEAR(AE$3)-YEAR($E34))*12+MONTH(AE$3)-MONTH($E34))/$G34,0)*$G34)+$G34),EDATE($E34,MAX(0,ROUNDUP(((YEAR(AE$3)-YEAR($E34))*12+MONTH(AE$3)-MONTH($E34))/$G34,0)*$G34)))&gt;=AE$3,IF(EDATE($E34,MAX(0,ROUNDUP(((YEAR(AE$3)-YEAR($E34))*12+MONTH(AE$3)-MONTH($E34))/$G34,0)*$G34))&lt;AE$3,EDATE($E34,MAX(0,ROUNDUP(((YEAR(AE$3)-YEAR($E34))*12+MONTH(AE$3)-MONTH($E34))/$G34,0)*$G34)+$G34),EDATE($E34,MAX(0,ROUNDUP(((YEAR(AE$3)-YEAR($E34))*12+MONTH(AE$3)-MONTH($E34))/$G34,0)*$G34)))&lt;=IF($F34="",AE$4,MIN(AE$4,$F34))),1,0)))))</f>
        <v>0</v>
      </c>
      <c r="AF34" s="25" t="n">
        <f aca="false">IF(OR($C34="",$C34=0,$E34="",$B34="",$G34=-2),0,$C34*IF($G34=0,IF(IF($F34="",AF$4,MIN(AF$4,$F34))&lt;$E34,0,MAX(0,INT((IF($F34="",AF$4,MIN(AF$4,$F34))-$E34)/7)+1-MAX(0,ROUNDUP((AF$3-$E34)/7,0)))),IF($G34=101,(AND(EOMONTH(AF$3,0)&gt;=MAX(AF$3,$E34),EOMONTH(AF$3,0)&lt;=IF($F34="",AF$4,MIN(AF$4,$F34)))*1+AND(EOMONTH(AF$4,0)&lt;&gt;EOMONTH(AF$3,0),EOMONTH(AF$4,0)&gt;=MAX(AF$3,$E34),EOMONTH(AF$4,0)&lt;=IF($F34="",AF$4,MIN(AF$4,$F34)))*1),IF($G34=102,(AND(WORKDAY(EOMONTH(AF$3,0)+1,-3)&gt;=MAX(AF$3,$E34),WORKDAY(EOMONTH(AF$3,0)+1,-3)&lt;=IF($F34="",AF$4,MIN(AF$4,$F34)))*1+AND(WORKDAY(EOMONTH(AF$4,0)+1,-3)&lt;&gt;WORKDAY(EOMONTH(AF$3,0)+1,-3),WORKDAY(EOMONTH(AF$4,0)+1,-3)&gt;=MAX(AF$3,$E34),WORKDAY(EOMONTH(AF$4,0)+1,-3)&lt;=IF($F34="",AF$4,MIN(AF$4,$F34)))*1),IF(AND(IF(EDATE($E34,MAX(0,ROUNDUP(((YEAR(AF$3)-YEAR($E34))*12+MONTH(AF$3)-MONTH($E34))/$G34,0)*$G34))&lt;AF$3,EDATE($E34,MAX(0,ROUNDUP(((YEAR(AF$3)-YEAR($E34))*12+MONTH(AF$3)-MONTH($E34))/$G34,0)*$G34)+$G34),EDATE($E34,MAX(0,ROUNDUP(((YEAR(AF$3)-YEAR($E34))*12+MONTH(AF$3)-MONTH($E34))/$G34,0)*$G34)))&gt;=AF$3,IF(EDATE($E34,MAX(0,ROUNDUP(((YEAR(AF$3)-YEAR($E34))*12+MONTH(AF$3)-MONTH($E34))/$G34,0)*$G34))&lt;AF$3,EDATE($E34,MAX(0,ROUNDUP(((YEAR(AF$3)-YEAR($E34))*12+MONTH(AF$3)-MONTH($E34))/$G34,0)*$G34)+$G34),EDATE($E34,MAX(0,ROUNDUP(((YEAR(AF$3)-YEAR($E34))*12+MONTH(AF$3)-MONTH($E34))/$G34,0)*$G34)))&lt;=IF($F34="",AF$4,MIN(AF$4,$F34))),1,0)))))</f>
        <v>0</v>
      </c>
    </row>
    <row r="35" customFormat="false" ht="15" hidden="false" customHeight="false" outlineLevel="0" collapsed="false">
      <c r="A35" s="5"/>
      <c r="B35" s="5"/>
      <c r="C35" s="8"/>
      <c r="D35" s="5"/>
      <c r="E35" s="7"/>
      <c r="F35" s="7"/>
      <c r="G35" s="24" t="n">
        <f aca="false">IFERROR(INDEX(Listen!$E$2:$E$8,MATCH(D35,Listen!$D$2:$D$8,0)),-2)</f>
        <v>-2</v>
      </c>
      <c r="H35" s="25" t="n">
        <f aca="false">IF(OR($C35="",$C35=0,$E35="",$B35="",$G35=-2),0,$C35*IF($G35=0,IF(IF($F35="",H$4,MIN(H$4,$F35))&lt;$E35,0,MAX(0,INT((IF($F35="",H$4,MIN(H$4,$F35))-$E35)/7)+1-MAX(0,ROUNDUP((H$3-$E35)/7,0)))),IF($G35=101,(AND(EOMONTH(H$3,0)&gt;=MAX(H$3,$E35),EOMONTH(H$3,0)&lt;=IF($F35="",H$4,MIN(H$4,$F35)))*1+AND(EOMONTH(H$4,0)&lt;&gt;EOMONTH(H$3,0),EOMONTH(H$4,0)&gt;=MAX(H$3,$E35),EOMONTH(H$4,0)&lt;=IF($F35="",H$4,MIN(H$4,$F35)))*1),IF($G35=102,(AND(WORKDAY(EOMONTH(H$3,0)+1,-3)&gt;=MAX(H$3,$E35),WORKDAY(EOMONTH(H$3,0)+1,-3)&lt;=IF($F35="",H$4,MIN(H$4,$F35)))*1+AND(WORKDAY(EOMONTH(H$4,0)+1,-3)&lt;&gt;WORKDAY(EOMONTH(H$3,0)+1,-3),WORKDAY(EOMONTH(H$4,0)+1,-3)&gt;=MAX(H$3,$E35),WORKDAY(EOMONTH(H$4,0)+1,-3)&lt;=IF($F35="",H$4,MIN(H$4,$F35)))*1),IF(AND(IF(EDATE($E35,MAX(0,ROUNDUP(((YEAR(H$3)-YEAR($E35))*12+MONTH(H$3)-MONTH($E35))/$G35,0)*$G35))&lt;H$3,EDATE($E35,MAX(0,ROUNDUP(((YEAR(H$3)-YEAR($E35))*12+MONTH(H$3)-MONTH($E35))/$G35,0)*$G35)+$G35),EDATE($E35,MAX(0,ROUNDUP(((YEAR(H$3)-YEAR($E35))*12+MONTH(H$3)-MONTH($E35))/$G35,0)*$G35)))&gt;=H$3,IF(EDATE($E35,MAX(0,ROUNDUP(((YEAR(H$3)-YEAR($E35))*12+MONTH(H$3)-MONTH($E35))/$G35,0)*$G35))&lt;H$3,EDATE($E35,MAX(0,ROUNDUP(((YEAR(H$3)-YEAR($E35))*12+MONTH(H$3)-MONTH($E35))/$G35,0)*$G35)+$G35),EDATE($E35,MAX(0,ROUNDUP(((YEAR(H$3)-YEAR($E35))*12+MONTH(H$3)-MONTH($E35))/$G35,0)*$G35)))&lt;=IF($F35="",H$4,MIN(H$4,$F35))),1,0)))))</f>
        <v>0</v>
      </c>
      <c r="I35" s="25" t="n">
        <f aca="false">IF(OR($C35="",$C35=0,$E35="",$B35="",$G35=-2),0,$C35*IF($G35=0,IF(IF($F35="",I$4,MIN(I$4,$F35))&lt;$E35,0,MAX(0,INT((IF($F35="",I$4,MIN(I$4,$F35))-$E35)/7)+1-MAX(0,ROUNDUP((I$3-$E35)/7,0)))),IF($G35=101,(AND(EOMONTH(I$3,0)&gt;=MAX(I$3,$E35),EOMONTH(I$3,0)&lt;=IF($F35="",I$4,MIN(I$4,$F35)))*1+AND(EOMONTH(I$4,0)&lt;&gt;EOMONTH(I$3,0),EOMONTH(I$4,0)&gt;=MAX(I$3,$E35),EOMONTH(I$4,0)&lt;=IF($F35="",I$4,MIN(I$4,$F35)))*1),IF($G35=102,(AND(WORKDAY(EOMONTH(I$3,0)+1,-3)&gt;=MAX(I$3,$E35),WORKDAY(EOMONTH(I$3,0)+1,-3)&lt;=IF($F35="",I$4,MIN(I$4,$F35)))*1+AND(WORKDAY(EOMONTH(I$4,0)+1,-3)&lt;&gt;WORKDAY(EOMONTH(I$3,0)+1,-3),WORKDAY(EOMONTH(I$4,0)+1,-3)&gt;=MAX(I$3,$E35),WORKDAY(EOMONTH(I$4,0)+1,-3)&lt;=IF($F35="",I$4,MIN(I$4,$F35)))*1),IF(AND(IF(EDATE($E35,MAX(0,ROUNDUP(((YEAR(I$3)-YEAR($E35))*12+MONTH(I$3)-MONTH($E35))/$G35,0)*$G35))&lt;I$3,EDATE($E35,MAX(0,ROUNDUP(((YEAR(I$3)-YEAR($E35))*12+MONTH(I$3)-MONTH($E35))/$G35,0)*$G35)+$G35),EDATE($E35,MAX(0,ROUNDUP(((YEAR(I$3)-YEAR($E35))*12+MONTH(I$3)-MONTH($E35))/$G35,0)*$G35)))&gt;=I$3,IF(EDATE($E35,MAX(0,ROUNDUP(((YEAR(I$3)-YEAR($E35))*12+MONTH(I$3)-MONTH($E35))/$G35,0)*$G35))&lt;I$3,EDATE($E35,MAX(0,ROUNDUP(((YEAR(I$3)-YEAR($E35))*12+MONTH(I$3)-MONTH($E35))/$G35,0)*$G35)+$G35),EDATE($E35,MAX(0,ROUNDUP(((YEAR(I$3)-YEAR($E35))*12+MONTH(I$3)-MONTH($E35))/$G35,0)*$G35)))&lt;=IF($F35="",I$4,MIN(I$4,$F35))),1,0)))))</f>
        <v>0</v>
      </c>
      <c r="J35" s="25" t="n">
        <f aca="false">IF(OR($C35="",$C35=0,$E35="",$B35="",$G35=-2),0,$C35*IF($G35=0,IF(IF($F35="",J$4,MIN(J$4,$F35))&lt;$E35,0,MAX(0,INT((IF($F35="",J$4,MIN(J$4,$F35))-$E35)/7)+1-MAX(0,ROUNDUP((J$3-$E35)/7,0)))),IF($G35=101,(AND(EOMONTH(J$3,0)&gt;=MAX(J$3,$E35),EOMONTH(J$3,0)&lt;=IF($F35="",J$4,MIN(J$4,$F35)))*1+AND(EOMONTH(J$4,0)&lt;&gt;EOMONTH(J$3,0),EOMONTH(J$4,0)&gt;=MAX(J$3,$E35),EOMONTH(J$4,0)&lt;=IF($F35="",J$4,MIN(J$4,$F35)))*1),IF($G35=102,(AND(WORKDAY(EOMONTH(J$3,0)+1,-3)&gt;=MAX(J$3,$E35),WORKDAY(EOMONTH(J$3,0)+1,-3)&lt;=IF($F35="",J$4,MIN(J$4,$F35)))*1+AND(WORKDAY(EOMONTH(J$4,0)+1,-3)&lt;&gt;WORKDAY(EOMONTH(J$3,0)+1,-3),WORKDAY(EOMONTH(J$4,0)+1,-3)&gt;=MAX(J$3,$E35),WORKDAY(EOMONTH(J$4,0)+1,-3)&lt;=IF($F35="",J$4,MIN(J$4,$F35)))*1),IF(AND(IF(EDATE($E35,MAX(0,ROUNDUP(((YEAR(J$3)-YEAR($E35))*12+MONTH(J$3)-MONTH($E35))/$G35,0)*$G35))&lt;J$3,EDATE($E35,MAX(0,ROUNDUP(((YEAR(J$3)-YEAR($E35))*12+MONTH(J$3)-MONTH($E35))/$G35,0)*$G35)+$G35),EDATE($E35,MAX(0,ROUNDUP(((YEAR(J$3)-YEAR($E35))*12+MONTH(J$3)-MONTH($E35))/$G35,0)*$G35)))&gt;=J$3,IF(EDATE($E35,MAX(0,ROUNDUP(((YEAR(J$3)-YEAR($E35))*12+MONTH(J$3)-MONTH($E35))/$G35,0)*$G35))&lt;J$3,EDATE($E35,MAX(0,ROUNDUP(((YEAR(J$3)-YEAR($E35))*12+MONTH(J$3)-MONTH($E35))/$G35,0)*$G35)+$G35),EDATE($E35,MAX(0,ROUNDUP(((YEAR(J$3)-YEAR($E35))*12+MONTH(J$3)-MONTH($E35))/$G35,0)*$G35)))&lt;=IF($F35="",J$4,MIN(J$4,$F35))),1,0)))))</f>
        <v>0</v>
      </c>
      <c r="K35" s="25" t="n">
        <f aca="false">IF(OR($C35="",$C35=0,$E35="",$B35="",$G35=-2),0,$C35*IF($G35=0,IF(IF($F35="",K$4,MIN(K$4,$F35))&lt;$E35,0,MAX(0,INT((IF($F35="",K$4,MIN(K$4,$F35))-$E35)/7)+1-MAX(0,ROUNDUP((K$3-$E35)/7,0)))),IF($G35=101,(AND(EOMONTH(K$3,0)&gt;=MAX(K$3,$E35),EOMONTH(K$3,0)&lt;=IF($F35="",K$4,MIN(K$4,$F35)))*1+AND(EOMONTH(K$4,0)&lt;&gt;EOMONTH(K$3,0),EOMONTH(K$4,0)&gt;=MAX(K$3,$E35),EOMONTH(K$4,0)&lt;=IF($F35="",K$4,MIN(K$4,$F35)))*1),IF($G35=102,(AND(WORKDAY(EOMONTH(K$3,0)+1,-3)&gt;=MAX(K$3,$E35),WORKDAY(EOMONTH(K$3,0)+1,-3)&lt;=IF($F35="",K$4,MIN(K$4,$F35)))*1+AND(WORKDAY(EOMONTH(K$4,0)+1,-3)&lt;&gt;WORKDAY(EOMONTH(K$3,0)+1,-3),WORKDAY(EOMONTH(K$4,0)+1,-3)&gt;=MAX(K$3,$E35),WORKDAY(EOMONTH(K$4,0)+1,-3)&lt;=IF($F35="",K$4,MIN(K$4,$F35)))*1),IF(AND(IF(EDATE($E35,MAX(0,ROUNDUP(((YEAR(K$3)-YEAR($E35))*12+MONTH(K$3)-MONTH($E35))/$G35,0)*$G35))&lt;K$3,EDATE($E35,MAX(0,ROUNDUP(((YEAR(K$3)-YEAR($E35))*12+MONTH(K$3)-MONTH($E35))/$G35,0)*$G35)+$G35),EDATE($E35,MAX(0,ROUNDUP(((YEAR(K$3)-YEAR($E35))*12+MONTH(K$3)-MONTH($E35))/$G35,0)*$G35)))&gt;=K$3,IF(EDATE($E35,MAX(0,ROUNDUP(((YEAR(K$3)-YEAR($E35))*12+MONTH(K$3)-MONTH($E35))/$G35,0)*$G35))&lt;K$3,EDATE($E35,MAX(0,ROUNDUP(((YEAR(K$3)-YEAR($E35))*12+MONTH(K$3)-MONTH($E35))/$G35,0)*$G35)+$G35),EDATE($E35,MAX(0,ROUNDUP(((YEAR(K$3)-YEAR($E35))*12+MONTH(K$3)-MONTH($E35))/$G35,0)*$G35)))&lt;=IF($F35="",K$4,MIN(K$4,$F35))),1,0)))))</f>
        <v>0</v>
      </c>
      <c r="L35" s="25" t="n">
        <f aca="false">IF(OR($C35="",$C35=0,$E35="",$B35="",$G35=-2),0,$C35*IF($G35=0,IF(IF($F35="",L$4,MIN(L$4,$F35))&lt;$E35,0,MAX(0,INT((IF($F35="",L$4,MIN(L$4,$F35))-$E35)/7)+1-MAX(0,ROUNDUP((L$3-$E35)/7,0)))),IF($G35=101,(AND(EOMONTH(L$3,0)&gt;=MAX(L$3,$E35),EOMONTH(L$3,0)&lt;=IF($F35="",L$4,MIN(L$4,$F35)))*1+AND(EOMONTH(L$4,0)&lt;&gt;EOMONTH(L$3,0),EOMONTH(L$4,0)&gt;=MAX(L$3,$E35),EOMONTH(L$4,0)&lt;=IF($F35="",L$4,MIN(L$4,$F35)))*1),IF($G35=102,(AND(WORKDAY(EOMONTH(L$3,0)+1,-3)&gt;=MAX(L$3,$E35),WORKDAY(EOMONTH(L$3,0)+1,-3)&lt;=IF($F35="",L$4,MIN(L$4,$F35)))*1+AND(WORKDAY(EOMONTH(L$4,0)+1,-3)&lt;&gt;WORKDAY(EOMONTH(L$3,0)+1,-3),WORKDAY(EOMONTH(L$4,0)+1,-3)&gt;=MAX(L$3,$E35),WORKDAY(EOMONTH(L$4,0)+1,-3)&lt;=IF($F35="",L$4,MIN(L$4,$F35)))*1),IF(AND(IF(EDATE($E35,MAX(0,ROUNDUP(((YEAR(L$3)-YEAR($E35))*12+MONTH(L$3)-MONTH($E35))/$G35,0)*$G35))&lt;L$3,EDATE($E35,MAX(0,ROUNDUP(((YEAR(L$3)-YEAR($E35))*12+MONTH(L$3)-MONTH($E35))/$G35,0)*$G35)+$G35),EDATE($E35,MAX(0,ROUNDUP(((YEAR(L$3)-YEAR($E35))*12+MONTH(L$3)-MONTH($E35))/$G35,0)*$G35)))&gt;=L$3,IF(EDATE($E35,MAX(0,ROUNDUP(((YEAR(L$3)-YEAR($E35))*12+MONTH(L$3)-MONTH($E35))/$G35,0)*$G35))&lt;L$3,EDATE($E35,MAX(0,ROUNDUP(((YEAR(L$3)-YEAR($E35))*12+MONTH(L$3)-MONTH($E35))/$G35,0)*$G35)+$G35),EDATE($E35,MAX(0,ROUNDUP(((YEAR(L$3)-YEAR($E35))*12+MONTH(L$3)-MONTH($E35))/$G35,0)*$G35)))&lt;=IF($F35="",L$4,MIN(L$4,$F35))),1,0)))))</f>
        <v>0</v>
      </c>
      <c r="M35" s="25" t="n">
        <f aca="false">IF(OR($C35="",$C35=0,$E35="",$B35="",$G35=-2),0,$C35*IF($G35=0,IF(IF($F35="",M$4,MIN(M$4,$F35))&lt;$E35,0,MAX(0,INT((IF($F35="",M$4,MIN(M$4,$F35))-$E35)/7)+1-MAX(0,ROUNDUP((M$3-$E35)/7,0)))),IF($G35=101,(AND(EOMONTH(M$3,0)&gt;=MAX(M$3,$E35),EOMONTH(M$3,0)&lt;=IF($F35="",M$4,MIN(M$4,$F35)))*1+AND(EOMONTH(M$4,0)&lt;&gt;EOMONTH(M$3,0),EOMONTH(M$4,0)&gt;=MAX(M$3,$E35),EOMONTH(M$4,0)&lt;=IF($F35="",M$4,MIN(M$4,$F35)))*1),IF($G35=102,(AND(WORKDAY(EOMONTH(M$3,0)+1,-3)&gt;=MAX(M$3,$E35),WORKDAY(EOMONTH(M$3,0)+1,-3)&lt;=IF($F35="",M$4,MIN(M$4,$F35)))*1+AND(WORKDAY(EOMONTH(M$4,0)+1,-3)&lt;&gt;WORKDAY(EOMONTH(M$3,0)+1,-3),WORKDAY(EOMONTH(M$4,0)+1,-3)&gt;=MAX(M$3,$E35),WORKDAY(EOMONTH(M$4,0)+1,-3)&lt;=IF($F35="",M$4,MIN(M$4,$F35)))*1),IF(AND(IF(EDATE($E35,MAX(0,ROUNDUP(((YEAR(M$3)-YEAR($E35))*12+MONTH(M$3)-MONTH($E35))/$G35,0)*$G35))&lt;M$3,EDATE($E35,MAX(0,ROUNDUP(((YEAR(M$3)-YEAR($E35))*12+MONTH(M$3)-MONTH($E35))/$G35,0)*$G35)+$G35),EDATE($E35,MAX(0,ROUNDUP(((YEAR(M$3)-YEAR($E35))*12+MONTH(M$3)-MONTH($E35))/$G35,0)*$G35)))&gt;=M$3,IF(EDATE($E35,MAX(0,ROUNDUP(((YEAR(M$3)-YEAR($E35))*12+MONTH(M$3)-MONTH($E35))/$G35,0)*$G35))&lt;M$3,EDATE($E35,MAX(0,ROUNDUP(((YEAR(M$3)-YEAR($E35))*12+MONTH(M$3)-MONTH($E35))/$G35,0)*$G35)+$G35),EDATE($E35,MAX(0,ROUNDUP(((YEAR(M$3)-YEAR($E35))*12+MONTH(M$3)-MONTH($E35))/$G35,0)*$G35)))&lt;=IF($F35="",M$4,MIN(M$4,$F35))),1,0)))))</f>
        <v>0</v>
      </c>
      <c r="N35" s="25" t="n">
        <f aca="false">IF(OR($C35="",$C35=0,$E35="",$B35="",$G35=-2),0,$C35*IF($G35=0,IF(IF($F35="",N$4,MIN(N$4,$F35))&lt;$E35,0,MAX(0,INT((IF($F35="",N$4,MIN(N$4,$F35))-$E35)/7)+1-MAX(0,ROUNDUP((N$3-$E35)/7,0)))),IF($G35=101,(AND(EOMONTH(N$3,0)&gt;=MAX(N$3,$E35),EOMONTH(N$3,0)&lt;=IF($F35="",N$4,MIN(N$4,$F35)))*1+AND(EOMONTH(N$4,0)&lt;&gt;EOMONTH(N$3,0),EOMONTH(N$4,0)&gt;=MAX(N$3,$E35),EOMONTH(N$4,0)&lt;=IF($F35="",N$4,MIN(N$4,$F35)))*1),IF($G35=102,(AND(WORKDAY(EOMONTH(N$3,0)+1,-3)&gt;=MAX(N$3,$E35),WORKDAY(EOMONTH(N$3,0)+1,-3)&lt;=IF($F35="",N$4,MIN(N$4,$F35)))*1+AND(WORKDAY(EOMONTH(N$4,0)+1,-3)&lt;&gt;WORKDAY(EOMONTH(N$3,0)+1,-3),WORKDAY(EOMONTH(N$4,0)+1,-3)&gt;=MAX(N$3,$E35),WORKDAY(EOMONTH(N$4,0)+1,-3)&lt;=IF($F35="",N$4,MIN(N$4,$F35)))*1),IF(AND(IF(EDATE($E35,MAX(0,ROUNDUP(((YEAR(N$3)-YEAR($E35))*12+MONTH(N$3)-MONTH($E35))/$G35,0)*$G35))&lt;N$3,EDATE($E35,MAX(0,ROUNDUP(((YEAR(N$3)-YEAR($E35))*12+MONTH(N$3)-MONTH($E35))/$G35,0)*$G35)+$G35),EDATE($E35,MAX(0,ROUNDUP(((YEAR(N$3)-YEAR($E35))*12+MONTH(N$3)-MONTH($E35))/$G35,0)*$G35)))&gt;=N$3,IF(EDATE($E35,MAX(0,ROUNDUP(((YEAR(N$3)-YEAR($E35))*12+MONTH(N$3)-MONTH($E35))/$G35,0)*$G35))&lt;N$3,EDATE($E35,MAX(0,ROUNDUP(((YEAR(N$3)-YEAR($E35))*12+MONTH(N$3)-MONTH($E35))/$G35,0)*$G35)+$G35),EDATE($E35,MAX(0,ROUNDUP(((YEAR(N$3)-YEAR($E35))*12+MONTH(N$3)-MONTH($E35))/$G35,0)*$G35)))&lt;=IF($F35="",N$4,MIN(N$4,$F35))),1,0)))))</f>
        <v>0</v>
      </c>
      <c r="O35" s="25" t="n">
        <f aca="false">IF(OR($C35="",$C35=0,$E35="",$B35="",$G35=-2),0,$C35*IF($G35=0,IF(IF($F35="",O$4,MIN(O$4,$F35))&lt;$E35,0,MAX(0,INT((IF($F35="",O$4,MIN(O$4,$F35))-$E35)/7)+1-MAX(0,ROUNDUP((O$3-$E35)/7,0)))),IF($G35=101,(AND(EOMONTH(O$3,0)&gt;=MAX(O$3,$E35),EOMONTH(O$3,0)&lt;=IF($F35="",O$4,MIN(O$4,$F35)))*1+AND(EOMONTH(O$4,0)&lt;&gt;EOMONTH(O$3,0),EOMONTH(O$4,0)&gt;=MAX(O$3,$E35),EOMONTH(O$4,0)&lt;=IF($F35="",O$4,MIN(O$4,$F35)))*1),IF($G35=102,(AND(WORKDAY(EOMONTH(O$3,0)+1,-3)&gt;=MAX(O$3,$E35),WORKDAY(EOMONTH(O$3,0)+1,-3)&lt;=IF($F35="",O$4,MIN(O$4,$F35)))*1+AND(WORKDAY(EOMONTH(O$4,0)+1,-3)&lt;&gt;WORKDAY(EOMONTH(O$3,0)+1,-3),WORKDAY(EOMONTH(O$4,0)+1,-3)&gt;=MAX(O$3,$E35),WORKDAY(EOMONTH(O$4,0)+1,-3)&lt;=IF($F35="",O$4,MIN(O$4,$F35)))*1),IF(AND(IF(EDATE($E35,MAX(0,ROUNDUP(((YEAR(O$3)-YEAR($E35))*12+MONTH(O$3)-MONTH($E35))/$G35,0)*$G35))&lt;O$3,EDATE($E35,MAX(0,ROUNDUP(((YEAR(O$3)-YEAR($E35))*12+MONTH(O$3)-MONTH($E35))/$G35,0)*$G35)+$G35),EDATE($E35,MAX(0,ROUNDUP(((YEAR(O$3)-YEAR($E35))*12+MONTH(O$3)-MONTH($E35))/$G35,0)*$G35)))&gt;=O$3,IF(EDATE($E35,MAX(0,ROUNDUP(((YEAR(O$3)-YEAR($E35))*12+MONTH(O$3)-MONTH($E35))/$G35,0)*$G35))&lt;O$3,EDATE($E35,MAX(0,ROUNDUP(((YEAR(O$3)-YEAR($E35))*12+MONTH(O$3)-MONTH($E35))/$G35,0)*$G35)+$G35),EDATE($E35,MAX(0,ROUNDUP(((YEAR(O$3)-YEAR($E35))*12+MONTH(O$3)-MONTH($E35))/$G35,0)*$G35)))&lt;=IF($F35="",O$4,MIN(O$4,$F35))),1,0)))))</f>
        <v>0</v>
      </c>
      <c r="P35" s="25" t="n">
        <f aca="false">IF(OR($C35="",$C35=0,$E35="",$B35="",$G35=-2),0,$C35*IF($G35=0,IF(IF($F35="",P$4,MIN(P$4,$F35))&lt;$E35,0,MAX(0,INT((IF($F35="",P$4,MIN(P$4,$F35))-$E35)/7)+1-MAX(0,ROUNDUP((P$3-$E35)/7,0)))),IF($G35=101,(AND(EOMONTH(P$3,0)&gt;=MAX(P$3,$E35),EOMONTH(P$3,0)&lt;=IF($F35="",P$4,MIN(P$4,$F35)))*1+AND(EOMONTH(P$4,0)&lt;&gt;EOMONTH(P$3,0),EOMONTH(P$4,0)&gt;=MAX(P$3,$E35),EOMONTH(P$4,0)&lt;=IF($F35="",P$4,MIN(P$4,$F35)))*1),IF($G35=102,(AND(WORKDAY(EOMONTH(P$3,0)+1,-3)&gt;=MAX(P$3,$E35),WORKDAY(EOMONTH(P$3,0)+1,-3)&lt;=IF($F35="",P$4,MIN(P$4,$F35)))*1+AND(WORKDAY(EOMONTH(P$4,0)+1,-3)&lt;&gt;WORKDAY(EOMONTH(P$3,0)+1,-3),WORKDAY(EOMONTH(P$4,0)+1,-3)&gt;=MAX(P$3,$E35),WORKDAY(EOMONTH(P$4,0)+1,-3)&lt;=IF($F35="",P$4,MIN(P$4,$F35)))*1),IF(AND(IF(EDATE($E35,MAX(0,ROUNDUP(((YEAR(P$3)-YEAR($E35))*12+MONTH(P$3)-MONTH($E35))/$G35,0)*$G35))&lt;P$3,EDATE($E35,MAX(0,ROUNDUP(((YEAR(P$3)-YEAR($E35))*12+MONTH(P$3)-MONTH($E35))/$G35,0)*$G35)+$G35),EDATE($E35,MAX(0,ROUNDUP(((YEAR(P$3)-YEAR($E35))*12+MONTH(P$3)-MONTH($E35))/$G35,0)*$G35)))&gt;=P$3,IF(EDATE($E35,MAX(0,ROUNDUP(((YEAR(P$3)-YEAR($E35))*12+MONTH(P$3)-MONTH($E35))/$G35,0)*$G35))&lt;P$3,EDATE($E35,MAX(0,ROUNDUP(((YEAR(P$3)-YEAR($E35))*12+MONTH(P$3)-MONTH($E35))/$G35,0)*$G35)+$G35),EDATE($E35,MAX(0,ROUNDUP(((YEAR(P$3)-YEAR($E35))*12+MONTH(P$3)-MONTH($E35))/$G35,0)*$G35)))&lt;=IF($F35="",P$4,MIN(P$4,$F35))),1,0)))))</f>
        <v>0</v>
      </c>
      <c r="Q35" s="25" t="n">
        <f aca="false">IF(OR($C35="",$C35=0,$E35="",$B35="",$G35=-2),0,$C35*IF($G35=0,IF(IF($F35="",Q$4,MIN(Q$4,$F35))&lt;$E35,0,MAX(0,INT((IF($F35="",Q$4,MIN(Q$4,$F35))-$E35)/7)+1-MAX(0,ROUNDUP((Q$3-$E35)/7,0)))),IF($G35=101,(AND(EOMONTH(Q$3,0)&gt;=MAX(Q$3,$E35),EOMONTH(Q$3,0)&lt;=IF($F35="",Q$4,MIN(Q$4,$F35)))*1+AND(EOMONTH(Q$4,0)&lt;&gt;EOMONTH(Q$3,0),EOMONTH(Q$4,0)&gt;=MAX(Q$3,$E35),EOMONTH(Q$4,0)&lt;=IF($F35="",Q$4,MIN(Q$4,$F35)))*1),IF($G35=102,(AND(WORKDAY(EOMONTH(Q$3,0)+1,-3)&gt;=MAX(Q$3,$E35),WORKDAY(EOMONTH(Q$3,0)+1,-3)&lt;=IF($F35="",Q$4,MIN(Q$4,$F35)))*1+AND(WORKDAY(EOMONTH(Q$4,0)+1,-3)&lt;&gt;WORKDAY(EOMONTH(Q$3,0)+1,-3),WORKDAY(EOMONTH(Q$4,0)+1,-3)&gt;=MAX(Q$3,$E35),WORKDAY(EOMONTH(Q$4,0)+1,-3)&lt;=IF($F35="",Q$4,MIN(Q$4,$F35)))*1),IF(AND(IF(EDATE($E35,MAX(0,ROUNDUP(((YEAR(Q$3)-YEAR($E35))*12+MONTH(Q$3)-MONTH($E35))/$G35,0)*$G35))&lt;Q$3,EDATE($E35,MAX(0,ROUNDUP(((YEAR(Q$3)-YEAR($E35))*12+MONTH(Q$3)-MONTH($E35))/$G35,0)*$G35)+$G35),EDATE($E35,MAX(0,ROUNDUP(((YEAR(Q$3)-YEAR($E35))*12+MONTH(Q$3)-MONTH($E35))/$G35,0)*$G35)))&gt;=Q$3,IF(EDATE($E35,MAX(0,ROUNDUP(((YEAR(Q$3)-YEAR($E35))*12+MONTH(Q$3)-MONTH($E35))/$G35,0)*$G35))&lt;Q$3,EDATE($E35,MAX(0,ROUNDUP(((YEAR(Q$3)-YEAR($E35))*12+MONTH(Q$3)-MONTH($E35))/$G35,0)*$G35)+$G35),EDATE($E35,MAX(0,ROUNDUP(((YEAR(Q$3)-YEAR($E35))*12+MONTH(Q$3)-MONTH($E35))/$G35,0)*$G35)))&lt;=IF($F35="",Q$4,MIN(Q$4,$F35))),1,0)))))</f>
        <v>0</v>
      </c>
      <c r="R35" s="25" t="n">
        <f aca="false">IF(OR($C35="",$C35=0,$E35="",$B35="",$G35=-2),0,$C35*IF($G35=0,IF(IF($F35="",R$4,MIN(R$4,$F35))&lt;$E35,0,MAX(0,INT((IF($F35="",R$4,MIN(R$4,$F35))-$E35)/7)+1-MAX(0,ROUNDUP((R$3-$E35)/7,0)))),IF($G35=101,(AND(EOMONTH(R$3,0)&gt;=MAX(R$3,$E35),EOMONTH(R$3,0)&lt;=IF($F35="",R$4,MIN(R$4,$F35)))*1+AND(EOMONTH(R$4,0)&lt;&gt;EOMONTH(R$3,0),EOMONTH(R$4,0)&gt;=MAX(R$3,$E35),EOMONTH(R$4,0)&lt;=IF($F35="",R$4,MIN(R$4,$F35)))*1),IF($G35=102,(AND(WORKDAY(EOMONTH(R$3,0)+1,-3)&gt;=MAX(R$3,$E35),WORKDAY(EOMONTH(R$3,0)+1,-3)&lt;=IF($F35="",R$4,MIN(R$4,$F35)))*1+AND(WORKDAY(EOMONTH(R$4,0)+1,-3)&lt;&gt;WORKDAY(EOMONTH(R$3,0)+1,-3),WORKDAY(EOMONTH(R$4,0)+1,-3)&gt;=MAX(R$3,$E35),WORKDAY(EOMONTH(R$4,0)+1,-3)&lt;=IF($F35="",R$4,MIN(R$4,$F35)))*1),IF(AND(IF(EDATE($E35,MAX(0,ROUNDUP(((YEAR(R$3)-YEAR($E35))*12+MONTH(R$3)-MONTH($E35))/$G35,0)*$G35))&lt;R$3,EDATE($E35,MAX(0,ROUNDUP(((YEAR(R$3)-YEAR($E35))*12+MONTH(R$3)-MONTH($E35))/$G35,0)*$G35)+$G35),EDATE($E35,MAX(0,ROUNDUP(((YEAR(R$3)-YEAR($E35))*12+MONTH(R$3)-MONTH($E35))/$G35,0)*$G35)))&gt;=R$3,IF(EDATE($E35,MAX(0,ROUNDUP(((YEAR(R$3)-YEAR($E35))*12+MONTH(R$3)-MONTH($E35))/$G35,0)*$G35))&lt;R$3,EDATE($E35,MAX(0,ROUNDUP(((YEAR(R$3)-YEAR($E35))*12+MONTH(R$3)-MONTH($E35))/$G35,0)*$G35)+$G35),EDATE($E35,MAX(0,ROUNDUP(((YEAR(R$3)-YEAR($E35))*12+MONTH(R$3)-MONTH($E35))/$G35,0)*$G35)))&lt;=IF($F35="",R$4,MIN(R$4,$F35))),1,0)))))</f>
        <v>0</v>
      </c>
      <c r="S35" s="25" t="n">
        <f aca="false">IF(OR($C35="",$C35=0,$E35="",$B35="",$G35=-2),0,$C35*IF($G35=0,IF(IF($F35="",S$4,MIN(S$4,$F35))&lt;$E35,0,MAX(0,INT((IF($F35="",S$4,MIN(S$4,$F35))-$E35)/7)+1-MAX(0,ROUNDUP((S$3-$E35)/7,0)))),IF($G35=101,(AND(EOMONTH(S$3,0)&gt;=MAX(S$3,$E35),EOMONTH(S$3,0)&lt;=IF($F35="",S$4,MIN(S$4,$F35)))*1+AND(EOMONTH(S$4,0)&lt;&gt;EOMONTH(S$3,0),EOMONTH(S$4,0)&gt;=MAX(S$3,$E35),EOMONTH(S$4,0)&lt;=IF($F35="",S$4,MIN(S$4,$F35)))*1),IF($G35=102,(AND(WORKDAY(EOMONTH(S$3,0)+1,-3)&gt;=MAX(S$3,$E35),WORKDAY(EOMONTH(S$3,0)+1,-3)&lt;=IF($F35="",S$4,MIN(S$4,$F35)))*1+AND(WORKDAY(EOMONTH(S$4,0)+1,-3)&lt;&gt;WORKDAY(EOMONTH(S$3,0)+1,-3),WORKDAY(EOMONTH(S$4,0)+1,-3)&gt;=MAX(S$3,$E35),WORKDAY(EOMONTH(S$4,0)+1,-3)&lt;=IF($F35="",S$4,MIN(S$4,$F35)))*1),IF(AND(IF(EDATE($E35,MAX(0,ROUNDUP(((YEAR(S$3)-YEAR($E35))*12+MONTH(S$3)-MONTH($E35))/$G35,0)*$G35))&lt;S$3,EDATE($E35,MAX(0,ROUNDUP(((YEAR(S$3)-YEAR($E35))*12+MONTH(S$3)-MONTH($E35))/$G35,0)*$G35)+$G35),EDATE($E35,MAX(0,ROUNDUP(((YEAR(S$3)-YEAR($E35))*12+MONTH(S$3)-MONTH($E35))/$G35,0)*$G35)))&gt;=S$3,IF(EDATE($E35,MAX(0,ROUNDUP(((YEAR(S$3)-YEAR($E35))*12+MONTH(S$3)-MONTH($E35))/$G35,0)*$G35))&lt;S$3,EDATE($E35,MAX(0,ROUNDUP(((YEAR(S$3)-YEAR($E35))*12+MONTH(S$3)-MONTH($E35))/$G35,0)*$G35)+$G35),EDATE($E35,MAX(0,ROUNDUP(((YEAR(S$3)-YEAR($E35))*12+MONTH(S$3)-MONTH($E35))/$G35,0)*$G35)))&lt;=IF($F35="",S$4,MIN(S$4,$F35))),1,0)))))</f>
        <v>0</v>
      </c>
      <c r="T35" s="25" t="n">
        <f aca="false">IF(OR($C35="",$C35=0,$E35="",$B35="",$G35=-2),0,$C35*IF($G35=0,IF(IF($F35="",T$4,MIN(T$4,$F35))&lt;$E35,0,MAX(0,INT((IF($F35="",T$4,MIN(T$4,$F35))-$E35)/7)+1-MAX(0,ROUNDUP((T$3-$E35)/7,0)))),IF($G35=101,(AND(EOMONTH(T$3,0)&gt;=MAX(T$3,$E35),EOMONTH(T$3,0)&lt;=IF($F35="",T$4,MIN(T$4,$F35)))*1+AND(EOMONTH(T$4,0)&lt;&gt;EOMONTH(T$3,0),EOMONTH(T$4,0)&gt;=MAX(T$3,$E35),EOMONTH(T$4,0)&lt;=IF($F35="",T$4,MIN(T$4,$F35)))*1),IF($G35=102,(AND(WORKDAY(EOMONTH(T$3,0)+1,-3)&gt;=MAX(T$3,$E35),WORKDAY(EOMONTH(T$3,0)+1,-3)&lt;=IF($F35="",T$4,MIN(T$4,$F35)))*1+AND(WORKDAY(EOMONTH(T$4,0)+1,-3)&lt;&gt;WORKDAY(EOMONTH(T$3,0)+1,-3),WORKDAY(EOMONTH(T$4,0)+1,-3)&gt;=MAX(T$3,$E35),WORKDAY(EOMONTH(T$4,0)+1,-3)&lt;=IF($F35="",T$4,MIN(T$4,$F35)))*1),IF(AND(IF(EDATE($E35,MAX(0,ROUNDUP(((YEAR(T$3)-YEAR($E35))*12+MONTH(T$3)-MONTH($E35))/$G35,0)*$G35))&lt;T$3,EDATE($E35,MAX(0,ROUNDUP(((YEAR(T$3)-YEAR($E35))*12+MONTH(T$3)-MONTH($E35))/$G35,0)*$G35)+$G35),EDATE($E35,MAX(0,ROUNDUP(((YEAR(T$3)-YEAR($E35))*12+MONTH(T$3)-MONTH($E35))/$G35,0)*$G35)))&gt;=T$3,IF(EDATE($E35,MAX(0,ROUNDUP(((YEAR(T$3)-YEAR($E35))*12+MONTH(T$3)-MONTH($E35))/$G35,0)*$G35))&lt;T$3,EDATE($E35,MAX(0,ROUNDUP(((YEAR(T$3)-YEAR($E35))*12+MONTH(T$3)-MONTH($E35))/$G35,0)*$G35)+$G35),EDATE($E35,MAX(0,ROUNDUP(((YEAR(T$3)-YEAR($E35))*12+MONTH(T$3)-MONTH($E35))/$G35,0)*$G35)))&lt;=IF($F35="",T$4,MIN(T$4,$F35))),1,0)))))</f>
        <v>0</v>
      </c>
      <c r="U35" s="25" t="n">
        <f aca="false">IF(OR($C35="",$C35=0,$E35="",$B35="",$G35=-2),0,$C35*IF($G35=0,IF(IF($F35="",U$4,MIN(U$4,$F35))&lt;$E35,0,MAX(0,INT((IF($F35="",U$4,MIN(U$4,$F35))-$E35)/7)+1-MAX(0,ROUNDUP((U$3-$E35)/7,0)))),IF($G35=101,(AND(EOMONTH(U$3,0)&gt;=MAX(U$3,$E35),EOMONTH(U$3,0)&lt;=IF($F35="",U$4,MIN(U$4,$F35)))*1+AND(EOMONTH(U$4,0)&lt;&gt;EOMONTH(U$3,0),EOMONTH(U$4,0)&gt;=MAX(U$3,$E35),EOMONTH(U$4,0)&lt;=IF($F35="",U$4,MIN(U$4,$F35)))*1),IF($G35=102,(AND(WORKDAY(EOMONTH(U$3,0)+1,-3)&gt;=MAX(U$3,$E35),WORKDAY(EOMONTH(U$3,0)+1,-3)&lt;=IF($F35="",U$4,MIN(U$4,$F35)))*1+AND(WORKDAY(EOMONTH(U$4,0)+1,-3)&lt;&gt;WORKDAY(EOMONTH(U$3,0)+1,-3),WORKDAY(EOMONTH(U$4,0)+1,-3)&gt;=MAX(U$3,$E35),WORKDAY(EOMONTH(U$4,0)+1,-3)&lt;=IF($F35="",U$4,MIN(U$4,$F35)))*1),IF(AND(IF(EDATE($E35,MAX(0,ROUNDUP(((YEAR(U$3)-YEAR($E35))*12+MONTH(U$3)-MONTH($E35))/$G35,0)*$G35))&lt;U$3,EDATE($E35,MAX(0,ROUNDUP(((YEAR(U$3)-YEAR($E35))*12+MONTH(U$3)-MONTH($E35))/$G35,0)*$G35)+$G35),EDATE($E35,MAX(0,ROUNDUP(((YEAR(U$3)-YEAR($E35))*12+MONTH(U$3)-MONTH($E35))/$G35,0)*$G35)))&gt;=U$3,IF(EDATE($E35,MAX(0,ROUNDUP(((YEAR(U$3)-YEAR($E35))*12+MONTH(U$3)-MONTH($E35))/$G35,0)*$G35))&lt;U$3,EDATE($E35,MAX(0,ROUNDUP(((YEAR(U$3)-YEAR($E35))*12+MONTH(U$3)-MONTH($E35))/$G35,0)*$G35)+$G35),EDATE($E35,MAX(0,ROUNDUP(((YEAR(U$3)-YEAR($E35))*12+MONTH(U$3)-MONTH($E35))/$G35,0)*$G35)))&lt;=IF($F35="",U$4,MIN(U$4,$F35))),1,0)))))</f>
        <v>0</v>
      </c>
      <c r="V35" s="25" t="n">
        <f aca="false">IF(OR($C35="",$C35=0,$E35="",$B35="",$G35=-2),0,$C35*IF($G35=0,IF(IF($F35="",V$4,MIN(V$4,$F35))&lt;$E35,0,MAX(0,INT((IF($F35="",V$4,MIN(V$4,$F35))-$E35)/7)+1-MAX(0,ROUNDUP((V$3-$E35)/7,0)))),IF($G35=101,(AND(EOMONTH(V$3,0)&gt;=MAX(V$3,$E35),EOMONTH(V$3,0)&lt;=IF($F35="",V$4,MIN(V$4,$F35)))*1+AND(EOMONTH(V$4,0)&lt;&gt;EOMONTH(V$3,0),EOMONTH(V$4,0)&gt;=MAX(V$3,$E35),EOMONTH(V$4,0)&lt;=IF($F35="",V$4,MIN(V$4,$F35)))*1),IF($G35=102,(AND(WORKDAY(EOMONTH(V$3,0)+1,-3)&gt;=MAX(V$3,$E35),WORKDAY(EOMONTH(V$3,0)+1,-3)&lt;=IF($F35="",V$4,MIN(V$4,$F35)))*1+AND(WORKDAY(EOMONTH(V$4,0)+1,-3)&lt;&gt;WORKDAY(EOMONTH(V$3,0)+1,-3),WORKDAY(EOMONTH(V$4,0)+1,-3)&gt;=MAX(V$3,$E35),WORKDAY(EOMONTH(V$4,0)+1,-3)&lt;=IF($F35="",V$4,MIN(V$4,$F35)))*1),IF(AND(IF(EDATE($E35,MAX(0,ROUNDUP(((YEAR(V$3)-YEAR($E35))*12+MONTH(V$3)-MONTH($E35))/$G35,0)*$G35))&lt;V$3,EDATE($E35,MAX(0,ROUNDUP(((YEAR(V$3)-YEAR($E35))*12+MONTH(V$3)-MONTH($E35))/$G35,0)*$G35)+$G35),EDATE($E35,MAX(0,ROUNDUP(((YEAR(V$3)-YEAR($E35))*12+MONTH(V$3)-MONTH($E35))/$G35,0)*$G35)))&gt;=V$3,IF(EDATE($E35,MAX(0,ROUNDUP(((YEAR(V$3)-YEAR($E35))*12+MONTH(V$3)-MONTH($E35))/$G35,0)*$G35))&lt;V$3,EDATE($E35,MAX(0,ROUNDUP(((YEAR(V$3)-YEAR($E35))*12+MONTH(V$3)-MONTH($E35))/$G35,0)*$G35)+$G35),EDATE($E35,MAX(0,ROUNDUP(((YEAR(V$3)-YEAR($E35))*12+MONTH(V$3)-MONTH($E35))/$G35,0)*$G35)))&lt;=IF($F35="",V$4,MIN(V$4,$F35))),1,0)))))</f>
        <v>0</v>
      </c>
      <c r="W35" s="25" t="n">
        <f aca="false">IF(OR($C35="",$C35=0,$E35="",$B35="",$G35=-2),0,$C35*IF($G35=0,IF(IF($F35="",W$4,MIN(W$4,$F35))&lt;$E35,0,MAX(0,INT((IF($F35="",W$4,MIN(W$4,$F35))-$E35)/7)+1-MAX(0,ROUNDUP((W$3-$E35)/7,0)))),IF($G35=101,(AND(EOMONTH(W$3,0)&gt;=MAX(W$3,$E35),EOMONTH(W$3,0)&lt;=IF($F35="",W$4,MIN(W$4,$F35)))*1+AND(EOMONTH(W$4,0)&lt;&gt;EOMONTH(W$3,0),EOMONTH(W$4,0)&gt;=MAX(W$3,$E35),EOMONTH(W$4,0)&lt;=IF($F35="",W$4,MIN(W$4,$F35)))*1),IF($G35=102,(AND(WORKDAY(EOMONTH(W$3,0)+1,-3)&gt;=MAX(W$3,$E35),WORKDAY(EOMONTH(W$3,0)+1,-3)&lt;=IF($F35="",W$4,MIN(W$4,$F35)))*1+AND(WORKDAY(EOMONTH(W$4,0)+1,-3)&lt;&gt;WORKDAY(EOMONTH(W$3,0)+1,-3),WORKDAY(EOMONTH(W$4,0)+1,-3)&gt;=MAX(W$3,$E35),WORKDAY(EOMONTH(W$4,0)+1,-3)&lt;=IF($F35="",W$4,MIN(W$4,$F35)))*1),IF(AND(IF(EDATE($E35,MAX(0,ROUNDUP(((YEAR(W$3)-YEAR($E35))*12+MONTH(W$3)-MONTH($E35))/$G35,0)*$G35))&lt;W$3,EDATE($E35,MAX(0,ROUNDUP(((YEAR(W$3)-YEAR($E35))*12+MONTH(W$3)-MONTH($E35))/$G35,0)*$G35)+$G35),EDATE($E35,MAX(0,ROUNDUP(((YEAR(W$3)-YEAR($E35))*12+MONTH(W$3)-MONTH($E35))/$G35,0)*$G35)))&gt;=W$3,IF(EDATE($E35,MAX(0,ROUNDUP(((YEAR(W$3)-YEAR($E35))*12+MONTH(W$3)-MONTH($E35))/$G35,0)*$G35))&lt;W$3,EDATE($E35,MAX(0,ROUNDUP(((YEAR(W$3)-YEAR($E35))*12+MONTH(W$3)-MONTH($E35))/$G35,0)*$G35)+$G35),EDATE($E35,MAX(0,ROUNDUP(((YEAR(W$3)-YEAR($E35))*12+MONTH(W$3)-MONTH($E35))/$G35,0)*$G35)))&lt;=IF($F35="",W$4,MIN(W$4,$F35))),1,0)))))</f>
        <v>0</v>
      </c>
      <c r="X35" s="25" t="n">
        <f aca="false">IF(OR($C35="",$C35=0,$E35="",$B35="",$G35=-2),0,$C35*IF($G35=0,IF(IF($F35="",X$4,MIN(X$4,$F35))&lt;$E35,0,MAX(0,INT((IF($F35="",X$4,MIN(X$4,$F35))-$E35)/7)+1-MAX(0,ROUNDUP((X$3-$E35)/7,0)))),IF($G35=101,(AND(EOMONTH(X$3,0)&gt;=MAX(X$3,$E35),EOMONTH(X$3,0)&lt;=IF($F35="",X$4,MIN(X$4,$F35)))*1+AND(EOMONTH(X$4,0)&lt;&gt;EOMONTH(X$3,0),EOMONTH(X$4,0)&gt;=MAX(X$3,$E35),EOMONTH(X$4,0)&lt;=IF($F35="",X$4,MIN(X$4,$F35)))*1),IF($G35=102,(AND(WORKDAY(EOMONTH(X$3,0)+1,-3)&gt;=MAX(X$3,$E35),WORKDAY(EOMONTH(X$3,0)+1,-3)&lt;=IF($F35="",X$4,MIN(X$4,$F35)))*1+AND(WORKDAY(EOMONTH(X$4,0)+1,-3)&lt;&gt;WORKDAY(EOMONTH(X$3,0)+1,-3),WORKDAY(EOMONTH(X$4,0)+1,-3)&gt;=MAX(X$3,$E35),WORKDAY(EOMONTH(X$4,0)+1,-3)&lt;=IF($F35="",X$4,MIN(X$4,$F35)))*1),IF(AND(IF(EDATE($E35,MAX(0,ROUNDUP(((YEAR(X$3)-YEAR($E35))*12+MONTH(X$3)-MONTH($E35))/$G35,0)*$G35))&lt;X$3,EDATE($E35,MAX(0,ROUNDUP(((YEAR(X$3)-YEAR($E35))*12+MONTH(X$3)-MONTH($E35))/$G35,0)*$G35)+$G35),EDATE($E35,MAX(0,ROUNDUP(((YEAR(X$3)-YEAR($E35))*12+MONTH(X$3)-MONTH($E35))/$G35,0)*$G35)))&gt;=X$3,IF(EDATE($E35,MAX(0,ROUNDUP(((YEAR(X$3)-YEAR($E35))*12+MONTH(X$3)-MONTH($E35))/$G35,0)*$G35))&lt;X$3,EDATE($E35,MAX(0,ROUNDUP(((YEAR(X$3)-YEAR($E35))*12+MONTH(X$3)-MONTH($E35))/$G35,0)*$G35)+$G35),EDATE($E35,MAX(0,ROUNDUP(((YEAR(X$3)-YEAR($E35))*12+MONTH(X$3)-MONTH($E35))/$G35,0)*$G35)))&lt;=IF($F35="",X$4,MIN(X$4,$F35))),1,0)))))</f>
        <v>0</v>
      </c>
      <c r="Y35" s="25" t="n">
        <f aca="false">IF(OR($C35="",$C35=0,$E35="",$B35="",$G35=-2),0,$C35*IF($G35=0,IF(IF($F35="",Y$4,MIN(Y$4,$F35))&lt;$E35,0,MAX(0,INT((IF($F35="",Y$4,MIN(Y$4,$F35))-$E35)/7)+1-MAX(0,ROUNDUP((Y$3-$E35)/7,0)))),IF($G35=101,(AND(EOMONTH(Y$3,0)&gt;=MAX(Y$3,$E35),EOMONTH(Y$3,0)&lt;=IF($F35="",Y$4,MIN(Y$4,$F35)))*1+AND(EOMONTH(Y$4,0)&lt;&gt;EOMONTH(Y$3,0),EOMONTH(Y$4,0)&gt;=MAX(Y$3,$E35),EOMONTH(Y$4,0)&lt;=IF($F35="",Y$4,MIN(Y$4,$F35)))*1),IF($G35=102,(AND(WORKDAY(EOMONTH(Y$3,0)+1,-3)&gt;=MAX(Y$3,$E35),WORKDAY(EOMONTH(Y$3,0)+1,-3)&lt;=IF($F35="",Y$4,MIN(Y$4,$F35)))*1+AND(WORKDAY(EOMONTH(Y$4,0)+1,-3)&lt;&gt;WORKDAY(EOMONTH(Y$3,0)+1,-3),WORKDAY(EOMONTH(Y$4,0)+1,-3)&gt;=MAX(Y$3,$E35),WORKDAY(EOMONTH(Y$4,0)+1,-3)&lt;=IF($F35="",Y$4,MIN(Y$4,$F35)))*1),IF(AND(IF(EDATE($E35,MAX(0,ROUNDUP(((YEAR(Y$3)-YEAR($E35))*12+MONTH(Y$3)-MONTH($E35))/$G35,0)*$G35))&lt;Y$3,EDATE($E35,MAX(0,ROUNDUP(((YEAR(Y$3)-YEAR($E35))*12+MONTH(Y$3)-MONTH($E35))/$G35,0)*$G35)+$G35),EDATE($E35,MAX(0,ROUNDUP(((YEAR(Y$3)-YEAR($E35))*12+MONTH(Y$3)-MONTH($E35))/$G35,0)*$G35)))&gt;=Y$3,IF(EDATE($E35,MAX(0,ROUNDUP(((YEAR(Y$3)-YEAR($E35))*12+MONTH(Y$3)-MONTH($E35))/$G35,0)*$G35))&lt;Y$3,EDATE($E35,MAX(0,ROUNDUP(((YEAR(Y$3)-YEAR($E35))*12+MONTH(Y$3)-MONTH($E35))/$G35,0)*$G35)+$G35),EDATE($E35,MAX(0,ROUNDUP(((YEAR(Y$3)-YEAR($E35))*12+MONTH(Y$3)-MONTH($E35))/$G35,0)*$G35)))&lt;=IF($F35="",Y$4,MIN(Y$4,$F35))),1,0)))))</f>
        <v>0</v>
      </c>
      <c r="Z35" s="25" t="n">
        <f aca="false">IF(OR($C35="",$C35=0,$E35="",$B35="",$G35=-2),0,$C35*IF($G35=0,IF(IF($F35="",Z$4,MIN(Z$4,$F35))&lt;$E35,0,MAX(0,INT((IF($F35="",Z$4,MIN(Z$4,$F35))-$E35)/7)+1-MAX(0,ROUNDUP((Z$3-$E35)/7,0)))),IF($G35=101,(AND(EOMONTH(Z$3,0)&gt;=MAX(Z$3,$E35),EOMONTH(Z$3,0)&lt;=IF($F35="",Z$4,MIN(Z$4,$F35)))*1+AND(EOMONTH(Z$4,0)&lt;&gt;EOMONTH(Z$3,0),EOMONTH(Z$4,0)&gt;=MAX(Z$3,$E35),EOMONTH(Z$4,0)&lt;=IF($F35="",Z$4,MIN(Z$4,$F35)))*1),IF($G35=102,(AND(WORKDAY(EOMONTH(Z$3,0)+1,-3)&gt;=MAX(Z$3,$E35),WORKDAY(EOMONTH(Z$3,0)+1,-3)&lt;=IF($F35="",Z$4,MIN(Z$4,$F35)))*1+AND(WORKDAY(EOMONTH(Z$4,0)+1,-3)&lt;&gt;WORKDAY(EOMONTH(Z$3,0)+1,-3),WORKDAY(EOMONTH(Z$4,0)+1,-3)&gt;=MAX(Z$3,$E35),WORKDAY(EOMONTH(Z$4,0)+1,-3)&lt;=IF($F35="",Z$4,MIN(Z$4,$F35)))*1),IF(AND(IF(EDATE($E35,MAX(0,ROUNDUP(((YEAR(Z$3)-YEAR($E35))*12+MONTH(Z$3)-MONTH($E35))/$G35,0)*$G35))&lt;Z$3,EDATE($E35,MAX(0,ROUNDUP(((YEAR(Z$3)-YEAR($E35))*12+MONTH(Z$3)-MONTH($E35))/$G35,0)*$G35)+$G35),EDATE($E35,MAX(0,ROUNDUP(((YEAR(Z$3)-YEAR($E35))*12+MONTH(Z$3)-MONTH($E35))/$G35,0)*$G35)))&gt;=Z$3,IF(EDATE($E35,MAX(0,ROUNDUP(((YEAR(Z$3)-YEAR($E35))*12+MONTH(Z$3)-MONTH($E35))/$G35,0)*$G35))&lt;Z$3,EDATE($E35,MAX(0,ROUNDUP(((YEAR(Z$3)-YEAR($E35))*12+MONTH(Z$3)-MONTH($E35))/$G35,0)*$G35)+$G35),EDATE($E35,MAX(0,ROUNDUP(((YEAR(Z$3)-YEAR($E35))*12+MONTH(Z$3)-MONTH($E35))/$G35,0)*$G35)))&lt;=IF($F35="",Z$4,MIN(Z$4,$F35))),1,0)))))</f>
        <v>0</v>
      </c>
      <c r="AA35" s="25" t="n">
        <f aca="false">IF(OR($C35="",$C35=0,$E35="",$B35="",$G35=-2),0,$C35*IF($G35=0,IF(IF($F35="",AA$4,MIN(AA$4,$F35))&lt;$E35,0,MAX(0,INT((IF($F35="",AA$4,MIN(AA$4,$F35))-$E35)/7)+1-MAX(0,ROUNDUP((AA$3-$E35)/7,0)))),IF($G35=101,(AND(EOMONTH(AA$3,0)&gt;=MAX(AA$3,$E35),EOMONTH(AA$3,0)&lt;=IF($F35="",AA$4,MIN(AA$4,$F35)))*1+AND(EOMONTH(AA$4,0)&lt;&gt;EOMONTH(AA$3,0),EOMONTH(AA$4,0)&gt;=MAX(AA$3,$E35),EOMONTH(AA$4,0)&lt;=IF($F35="",AA$4,MIN(AA$4,$F35)))*1),IF($G35=102,(AND(WORKDAY(EOMONTH(AA$3,0)+1,-3)&gt;=MAX(AA$3,$E35),WORKDAY(EOMONTH(AA$3,0)+1,-3)&lt;=IF($F35="",AA$4,MIN(AA$4,$F35)))*1+AND(WORKDAY(EOMONTH(AA$4,0)+1,-3)&lt;&gt;WORKDAY(EOMONTH(AA$3,0)+1,-3),WORKDAY(EOMONTH(AA$4,0)+1,-3)&gt;=MAX(AA$3,$E35),WORKDAY(EOMONTH(AA$4,0)+1,-3)&lt;=IF($F35="",AA$4,MIN(AA$4,$F35)))*1),IF(AND(IF(EDATE($E35,MAX(0,ROUNDUP(((YEAR(AA$3)-YEAR($E35))*12+MONTH(AA$3)-MONTH($E35))/$G35,0)*$G35))&lt;AA$3,EDATE($E35,MAX(0,ROUNDUP(((YEAR(AA$3)-YEAR($E35))*12+MONTH(AA$3)-MONTH($E35))/$G35,0)*$G35)+$G35),EDATE($E35,MAX(0,ROUNDUP(((YEAR(AA$3)-YEAR($E35))*12+MONTH(AA$3)-MONTH($E35))/$G35,0)*$G35)))&gt;=AA$3,IF(EDATE($E35,MAX(0,ROUNDUP(((YEAR(AA$3)-YEAR($E35))*12+MONTH(AA$3)-MONTH($E35))/$G35,0)*$G35))&lt;AA$3,EDATE($E35,MAX(0,ROUNDUP(((YEAR(AA$3)-YEAR($E35))*12+MONTH(AA$3)-MONTH($E35))/$G35,0)*$G35)+$G35),EDATE($E35,MAX(0,ROUNDUP(((YEAR(AA$3)-YEAR($E35))*12+MONTH(AA$3)-MONTH($E35))/$G35,0)*$G35)))&lt;=IF($F35="",AA$4,MIN(AA$4,$F35))),1,0)))))</f>
        <v>0</v>
      </c>
      <c r="AB35" s="25" t="n">
        <f aca="false">IF(OR($C35="",$C35=0,$E35="",$B35="",$G35=-2),0,$C35*IF($G35=0,IF(IF($F35="",AB$4,MIN(AB$4,$F35))&lt;$E35,0,MAX(0,INT((IF($F35="",AB$4,MIN(AB$4,$F35))-$E35)/7)+1-MAX(0,ROUNDUP((AB$3-$E35)/7,0)))),IF($G35=101,(AND(EOMONTH(AB$3,0)&gt;=MAX(AB$3,$E35),EOMONTH(AB$3,0)&lt;=IF($F35="",AB$4,MIN(AB$4,$F35)))*1+AND(EOMONTH(AB$4,0)&lt;&gt;EOMONTH(AB$3,0),EOMONTH(AB$4,0)&gt;=MAX(AB$3,$E35),EOMONTH(AB$4,0)&lt;=IF($F35="",AB$4,MIN(AB$4,$F35)))*1),IF($G35=102,(AND(WORKDAY(EOMONTH(AB$3,0)+1,-3)&gt;=MAX(AB$3,$E35),WORKDAY(EOMONTH(AB$3,0)+1,-3)&lt;=IF($F35="",AB$4,MIN(AB$4,$F35)))*1+AND(WORKDAY(EOMONTH(AB$4,0)+1,-3)&lt;&gt;WORKDAY(EOMONTH(AB$3,0)+1,-3),WORKDAY(EOMONTH(AB$4,0)+1,-3)&gt;=MAX(AB$3,$E35),WORKDAY(EOMONTH(AB$4,0)+1,-3)&lt;=IF($F35="",AB$4,MIN(AB$4,$F35)))*1),IF(AND(IF(EDATE($E35,MAX(0,ROUNDUP(((YEAR(AB$3)-YEAR($E35))*12+MONTH(AB$3)-MONTH($E35))/$G35,0)*$G35))&lt;AB$3,EDATE($E35,MAX(0,ROUNDUP(((YEAR(AB$3)-YEAR($E35))*12+MONTH(AB$3)-MONTH($E35))/$G35,0)*$G35)+$G35),EDATE($E35,MAX(0,ROUNDUP(((YEAR(AB$3)-YEAR($E35))*12+MONTH(AB$3)-MONTH($E35))/$G35,0)*$G35)))&gt;=AB$3,IF(EDATE($E35,MAX(0,ROUNDUP(((YEAR(AB$3)-YEAR($E35))*12+MONTH(AB$3)-MONTH($E35))/$G35,0)*$G35))&lt;AB$3,EDATE($E35,MAX(0,ROUNDUP(((YEAR(AB$3)-YEAR($E35))*12+MONTH(AB$3)-MONTH($E35))/$G35,0)*$G35)+$G35),EDATE($E35,MAX(0,ROUNDUP(((YEAR(AB$3)-YEAR($E35))*12+MONTH(AB$3)-MONTH($E35))/$G35,0)*$G35)))&lt;=IF($F35="",AB$4,MIN(AB$4,$F35))),1,0)))))</f>
        <v>0</v>
      </c>
      <c r="AC35" s="25" t="n">
        <f aca="false">IF(OR($C35="",$C35=0,$E35="",$B35="",$G35=-2),0,$C35*IF($G35=0,IF(IF($F35="",AC$4,MIN(AC$4,$F35))&lt;$E35,0,MAX(0,INT((IF($F35="",AC$4,MIN(AC$4,$F35))-$E35)/7)+1-MAX(0,ROUNDUP((AC$3-$E35)/7,0)))),IF($G35=101,(AND(EOMONTH(AC$3,0)&gt;=MAX(AC$3,$E35),EOMONTH(AC$3,0)&lt;=IF($F35="",AC$4,MIN(AC$4,$F35)))*1+AND(EOMONTH(AC$4,0)&lt;&gt;EOMONTH(AC$3,0),EOMONTH(AC$4,0)&gt;=MAX(AC$3,$E35),EOMONTH(AC$4,0)&lt;=IF($F35="",AC$4,MIN(AC$4,$F35)))*1),IF($G35=102,(AND(WORKDAY(EOMONTH(AC$3,0)+1,-3)&gt;=MAX(AC$3,$E35),WORKDAY(EOMONTH(AC$3,0)+1,-3)&lt;=IF($F35="",AC$4,MIN(AC$4,$F35)))*1+AND(WORKDAY(EOMONTH(AC$4,0)+1,-3)&lt;&gt;WORKDAY(EOMONTH(AC$3,0)+1,-3),WORKDAY(EOMONTH(AC$4,0)+1,-3)&gt;=MAX(AC$3,$E35),WORKDAY(EOMONTH(AC$4,0)+1,-3)&lt;=IF($F35="",AC$4,MIN(AC$4,$F35)))*1),IF(AND(IF(EDATE($E35,MAX(0,ROUNDUP(((YEAR(AC$3)-YEAR($E35))*12+MONTH(AC$3)-MONTH($E35))/$G35,0)*$G35))&lt;AC$3,EDATE($E35,MAX(0,ROUNDUP(((YEAR(AC$3)-YEAR($E35))*12+MONTH(AC$3)-MONTH($E35))/$G35,0)*$G35)+$G35),EDATE($E35,MAX(0,ROUNDUP(((YEAR(AC$3)-YEAR($E35))*12+MONTH(AC$3)-MONTH($E35))/$G35,0)*$G35)))&gt;=AC$3,IF(EDATE($E35,MAX(0,ROUNDUP(((YEAR(AC$3)-YEAR($E35))*12+MONTH(AC$3)-MONTH($E35))/$G35,0)*$G35))&lt;AC$3,EDATE($E35,MAX(0,ROUNDUP(((YEAR(AC$3)-YEAR($E35))*12+MONTH(AC$3)-MONTH($E35))/$G35,0)*$G35)+$G35),EDATE($E35,MAX(0,ROUNDUP(((YEAR(AC$3)-YEAR($E35))*12+MONTH(AC$3)-MONTH($E35))/$G35,0)*$G35)))&lt;=IF($F35="",AC$4,MIN(AC$4,$F35))),1,0)))))</f>
        <v>0</v>
      </c>
      <c r="AD35" s="25" t="n">
        <f aca="false">IF(OR($C35="",$C35=0,$E35="",$B35="",$G35=-2),0,$C35*IF($G35=0,IF(IF($F35="",AD$4,MIN(AD$4,$F35))&lt;$E35,0,MAX(0,INT((IF($F35="",AD$4,MIN(AD$4,$F35))-$E35)/7)+1-MAX(0,ROUNDUP((AD$3-$E35)/7,0)))),IF($G35=101,(AND(EOMONTH(AD$3,0)&gt;=MAX(AD$3,$E35),EOMONTH(AD$3,0)&lt;=IF($F35="",AD$4,MIN(AD$4,$F35)))*1+AND(EOMONTH(AD$4,0)&lt;&gt;EOMONTH(AD$3,0),EOMONTH(AD$4,0)&gt;=MAX(AD$3,$E35),EOMONTH(AD$4,0)&lt;=IF($F35="",AD$4,MIN(AD$4,$F35)))*1),IF($G35=102,(AND(WORKDAY(EOMONTH(AD$3,0)+1,-3)&gt;=MAX(AD$3,$E35),WORKDAY(EOMONTH(AD$3,0)+1,-3)&lt;=IF($F35="",AD$4,MIN(AD$4,$F35)))*1+AND(WORKDAY(EOMONTH(AD$4,0)+1,-3)&lt;&gt;WORKDAY(EOMONTH(AD$3,0)+1,-3),WORKDAY(EOMONTH(AD$4,0)+1,-3)&gt;=MAX(AD$3,$E35),WORKDAY(EOMONTH(AD$4,0)+1,-3)&lt;=IF($F35="",AD$4,MIN(AD$4,$F35)))*1),IF(AND(IF(EDATE($E35,MAX(0,ROUNDUP(((YEAR(AD$3)-YEAR($E35))*12+MONTH(AD$3)-MONTH($E35))/$G35,0)*$G35))&lt;AD$3,EDATE($E35,MAX(0,ROUNDUP(((YEAR(AD$3)-YEAR($E35))*12+MONTH(AD$3)-MONTH($E35))/$G35,0)*$G35)+$G35),EDATE($E35,MAX(0,ROUNDUP(((YEAR(AD$3)-YEAR($E35))*12+MONTH(AD$3)-MONTH($E35))/$G35,0)*$G35)))&gt;=AD$3,IF(EDATE($E35,MAX(0,ROUNDUP(((YEAR(AD$3)-YEAR($E35))*12+MONTH(AD$3)-MONTH($E35))/$G35,0)*$G35))&lt;AD$3,EDATE($E35,MAX(0,ROUNDUP(((YEAR(AD$3)-YEAR($E35))*12+MONTH(AD$3)-MONTH($E35))/$G35,0)*$G35)+$G35),EDATE($E35,MAX(0,ROUNDUP(((YEAR(AD$3)-YEAR($E35))*12+MONTH(AD$3)-MONTH($E35))/$G35,0)*$G35)))&lt;=IF($F35="",AD$4,MIN(AD$4,$F35))),1,0)))))</f>
        <v>0</v>
      </c>
      <c r="AE35" s="25" t="n">
        <f aca="false">IF(OR($C35="",$C35=0,$E35="",$B35="",$G35=-2),0,$C35*IF($G35=0,IF(IF($F35="",AE$4,MIN(AE$4,$F35))&lt;$E35,0,MAX(0,INT((IF($F35="",AE$4,MIN(AE$4,$F35))-$E35)/7)+1-MAX(0,ROUNDUP((AE$3-$E35)/7,0)))),IF($G35=101,(AND(EOMONTH(AE$3,0)&gt;=MAX(AE$3,$E35),EOMONTH(AE$3,0)&lt;=IF($F35="",AE$4,MIN(AE$4,$F35)))*1+AND(EOMONTH(AE$4,0)&lt;&gt;EOMONTH(AE$3,0),EOMONTH(AE$4,0)&gt;=MAX(AE$3,$E35),EOMONTH(AE$4,0)&lt;=IF($F35="",AE$4,MIN(AE$4,$F35)))*1),IF($G35=102,(AND(WORKDAY(EOMONTH(AE$3,0)+1,-3)&gt;=MAX(AE$3,$E35),WORKDAY(EOMONTH(AE$3,0)+1,-3)&lt;=IF($F35="",AE$4,MIN(AE$4,$F35)))*1+AND(WORKDAY(EOMONTH(AE$4,0)+1,-3)&lt;&gt;WORKDAY(EOMONTH(AE$3,0)+1,-3),WORKDAY(EOMONTH(AE$4,0)+1,-3)&gt;=MAX(AE$3,$E35),WORKDAY(EOMONTH(AE$4,0)+1,-3)&lt;=IF($F35="",AE$4,MIN(AE$4,$F35)))*1),IF(AND(IF(EDATE($E35,MAX(0,ROUNDUP(((YEAR(AE$3)-YEAR($E35))*12+MONTH(AE$3)-MONTH($E35))/$G35,0)*$G35))&lt;AE$3,EDATE($E35,MAX(0,ROUNDUP(((YEAR(AE$3)-YEAR($E35))*12+MONTH(AE$3)-MONTH($E35))/$G35,0)*$G35)+$G35),EDATE($E35,MAX(0,ROUNDUP(((YEAR(AE$3)-YEAR($E35))*12+MONTH(AE$3)-MONTH($E35))/$G35,0)*$G35)))&gt;=AE$3,IF(EDATE($E35,MAX(0,ROUNDUP(((YEAR(AE$3)-YEAR($E35))*12+MONTH(AE$3)-MONTH($E35))/$G35,0)*$G35))&lt;AE$3,EDATE($E35,MAX(0,ROUNDUP(((YEAR(AE$3)-YEAR($E35))*12+MONTH(AE$3)-MONTH($E35))/$G35,0)*$G35)+$G35),EDATE($E35,MAX(0,ROUNDUP(((YEAR(AE$3)-YEAR($E35))*12+MONTH(AE$3)-MONTH($E35))/$G35,0)*$G35)))&lt;=IF($F35="",AE$4,MIN(AE$4,$F35))),1,0)))))</f>
        <v>0</v>
      </c>
      <c r="AF35" s="25" t="n">
        <f aca="false">IF(OR($C35="",$C35=0,$E35="",$B35="",$G35=-2),0,$C35*IF($G35=0,IF(IF($F35="",AF$4,MIN(AF$4,$F35))&lt;$E35,0,MAX(0,INT((IF($F35="",AF$4,MIN(AF$4,$F35))-$E35)/7)+1-MAX(0,ROUNDUP((AF$3-$E35)/7,0)))),IF($G35=101,(AND(EOMONTH(AF$3,0)&gt;=MAX(AF$3,$E35),EOMONTH(AF$3,0)&lt;=IF($F35="",AF$4,MIN(AF$4,$F35)))*1+AND(EOMONTH(AF$4,0)&lt;&gt;EOMONTH(AF$3,0),EOMONTH(AF$4,0)&gt;=MAX(AF$3,$E35),EOMONTH(AF$4,0)&lt;=IF($F35="",AF$4,MIN(AF$4,$F35)))*1),IF($G35=102,(AND(WORKDAY(EOMONTH(AF$3,0)+1,-3)&gt;=MAX(AF$3,$E35),WORKDAY(EOMONTH(AF$3,0)+1,-3)&lt;=IF($F35="",AF$4,MIN(AF$4,$F35)))*1+AND(WORKDAY(EOMONTH(AF$4,0)+1,-3)&lt;&gt;WORKDAY(EOMONTH(AF$3,0)+1,-3),WORKDAY(EOMONTH(AF$4,0)+1,-3)&gt;=MAX(AF$3,$E35),WORKDAY(EOMONTH(AF$4,0)+1,-3)&lt;=IF($F35="",AF$4,MIN(AF$4,$F35)))*1),IF(AND(IF(EDATE($E35,MAX(0,ROUNDUP(((YEAR(AF$3)-YEAR($E35))*12+MONTH(AF$3)-MONTH($E35))/$G35,0)*$G35))&lt;AF$3,EDATE($E35,MAX(0,ROUNDUP(((YEAR(AF$3)-YEAR($E35))*12+MONTH(AF$3)-MONTH($E35))/$G35,0)*$G35)+$G35),EDATE($E35,MAX(0,ROUNDUP(((YEAR(AF$3)-YEAR($E35))*12+MONTH(AF$3)-MONTH($E35))/$G35,0)*$G35)))&gt;=AF$3,IF(EDATE($E35,MAX(0,ROUNDUP(((YEAR(AF$3)-YEAR($E35))*12+MONTH(AF$3)-MONTH($E35))/$G35,0)*$G35))&lt;AF$3,EDATE($E35,MAX(0,ROUNDUP(((YEAR(AF$3)-YEAR($E35))*12+MONTH(AF$3)-MONTH($E35))/$G35,0)*$G35)+$G35),EDATE($E35,MAX(0,ROUNDUP(((YEAR(AF$3)-YEAR($E35))*12+MONTH(AF$3)-MONTH($E35))/$G35,0)*$G35)))&lt;=IF($F35="",AF$4,MIN(AF$4,$F35))),1,0)))))</f>
        <v>0</v>
      </c>
    </row>
    <row r="36" customFormat="false" ht="15" hidden="false" customHeight="false" outlineLevel="0" collapsed="false">
      <c r="A36" s="5"/>
      <c r="B36" s="5"/>
      <c r="C36" s="8"/>
      <c r="D36" s="5"/>
      <c r="E36" s="7"/>
      <c r="F36" s="7"/>
      <c r="G36" s="24" t="n">
        <f aca="false">IFERROR(INDEX(Listen!$E$2:$E$8,MATCH(D36,Listen!$D$2:$D$8,0)),-2)</f>
        <v>-2</v>
      </c>
      <c r="H36" s="25" t="n">
        <f aca="false">IF(OR($C36="",$C36=0,$E36="",$B36="",$G36=-2),0,$C36*IF($G36=0,IF(IF($F36="",H$4,MIN(H$4,$F36))&lt;$E36,0,MAX(0,INT((IF($F36="",H$4,MIN(H$4,$F36))-$E36)/7)+1-MAX(0,ROUNDUP((H$3-$E36)/7,0)))),IF($G36=101,(AND(EOMONTH(H$3,0)&gt;=MAX(H$3,$E36),EOMONTH(H$3,0)&lt;=IF($F36="",H$4,MIN(H$4,$F36)))*1+AND(EOMONTH(H$4,0)&lt;&gt;EOMONTH(H$3,0),EOMONTH(H$4,0)&gt;=MAX(H$3,$E36),EOMONTH(H$4,0)&lt;=IF($F36="",H$4,MIN(H$4,$F36)))*1),IF($G36=102,(AND(WORKDAY(EOMONTH(H$3,0)+1,-3)&gt;=MAX(H$3,$E36),WORKDAY(EOMONTH(H$3,0)+1,-3)&lt;=IF($F36="",H$4,MIN(H$4,$F36)))*1+AND(WORKDAY(EOMONTH(H$4,0)+1,-3)&lt;&gt;WORKDAY(EOMONTH(H$3,0)+1,-3),WORKDAY(EOMONTH(H$4,0)+1,-3)&gt;=MAX(H$3,$E36),WORKDAY(EOMONTH(H$4,0)+1,-3)&lt;=IF($F36="",H$4,MIN(H$4,$F36)))*1),IF(AND(IF(EDATE($E36,MAX(0,ROUNDUP(((YEAR(H$3)-YEAR($E36))*12+MONTH(H$3)-MONTH($E36))/$G36,0)*$G36))&lt;H$3,EDATE($E36,MAX(0,ROUNDUP(((YEAR(H$3)-YEAR($E36))*12+MONTH(H$3)-MONTH($E36))/$G36,0)*$G36)+$G36),EDATE($E36,MAX(0,ROUNDUP(((YEAR(H$3)-YEAR($E36))*12+MONTH(H$3)-MONTH($E36))/$G36,0)*$G36)))&gt;=H$3,IF(EDATE($E36,MAX(0,ROUNDUP(((YEAR(H$3)-YEAR($E36))*12+MONTH(H$3)-MONTH($E36))/$G36,0)*$G36))&lt;H$3,EDATE($E36,MAX(0,ROUNDUP(((YEAR(H$3)-YEAR($E36))*12+MONTH(H$3)-MONTH($E36))/$G36,0)*$G36)+$G36),EDATE($E36,MAX(0,ROUNDUP(((YEAR(H$3)-YEAR($E36))*12+MONTH(H$3)-MONTH($E36))/$G36,0)*$G36)))&lt;=IF($F36="",H$4,MIN(H$4,$F36))),1,0)))))</f>
        <v>0</v>
      </c>
      <c r="I36" s="25" t="n">
        <f aca="false">IF(OR($C36="",$C36=0,$E36="",$B36="",$G36=-2),0,$C36*IF($G36=0,IF(IF($F36="",I$4,MIN(I$4,$F36))&lt;$E36,0,MAX(0,INT((IF($F36="",I$4,MIN(I$4,$F36))-$E36)/7)+1-MAX(0,ROUNDUP((I$3-$E36)/7,0)))),IF($G36=101,(AND(EOMONTH(I$3,0)&gt;=MAX(I$3,$E36),EOMONTH(I$3,0)&lt;=IF($F36="",I$4,MIN(I$4,$F36)))*1+AND(EOMONTH(I$4,0)&lt;&gt;EOMONTH(I$3,0),EOMONTH(I$4,0)&gt;=MAX(I$3,$E36),EOMONTH(I$4,0)&lt;=IF($F36="",I$4,MIN(I$4,$F36)))*1),IF($G36=102,(AND(WORKDAY(EOMONTH(I$3,0)+1,-3)&gt;=MAX(I$3,$E36),WORKDAY(EOMONTH(I$3,0)+1,-3)&lt;=IF($F36="",I$4,MIN(I$4,$F36)))*1+AND(WORKDAY(EOMONTH(I$4,0)+1,-3)&lt;&gt;WORKDAY(EOMONTH(I$3,0)+1,-3),WORKDAY(EOMONTH(I$4,0)+1,-3)&gt;=MAX(I$3,$E36),WORKDAY(EOMONTH(I$4,0)+1,-3)&lt;=IF($F36="",I$4,MIN(I$4,$F36)))*1),IF(AND(IF(EDATE($E36,MAX(0,ROUNDUP(((YEAR(I$3)-YEAR($E36))*12+MONTH(I$3)-MONTH($E36))/$G36,0)*$G36))&lt;I$3,EDATE($E36,MAX(0,ROUNDUP(((YEAR(I$3)-YEAR($E36))*12+MONTH(I$3)-MONTH($E36))/$G36,0)*$G36)+$G36),EDATE($E36,MAX(0,ROUNDUP(((YEAR(I$3)-YEAR($E36))*12+MONTH(I$3)-MONTH($E36))/$G36,0)*$G36)))&gt;=I$3,IF(EDATE($E36,MAX(0,ROUNDUP(((YEAR(I$3)-YEAR($E36))*12+MONTH(I$3)-MONTH($E36))/$G36,0)*$G36))&lt;I$3,EDATE($E36,MAX(0,ROUNDUP(((YEAR(I$3)-YEAR($E36))*12+MONTH(I$3)-MONTH($E36))/$G36,0)*$G36)+$G36),EDATE($E36,MAX(0,ROUNDUP(((YEAR(I$3)-YEAR($E36))*12+MONTH(I$3)-MONTH($E36))/$G36,0)*$G36)))&lt;=IF($F36="",I$4,MIN(I$4,$F36))),1,0)))))</f>
        <v>0</v>
      </c>
      <c r="J36" s="25" t="n">
        <f aca="false">IF(OR($C36="",$C36=0,$E36="",$B36="",$G36=-2),0,$C36*IF($G36=0,IF(IF($F36="",J$4,MIN(J$4,$F36))&lt;$E36,0,MAX(0,INT((IF($F36="",J$4,MIN(J$4,$F36))-$E36)/7)+1-MAX(0,ROUNDUP((J$3-$E36)/7,0)))),IF($G36=101,(AND(EOMONTH(J$3,0)&gt;=MAX(J$3,$E36),EOMONTH(J$3,0)&lt;=IF($F36="",J$4,MIN(J$4,$F36)))*1+AND(EOMONTH(J$4,0)&lt;&gt;EOMONTH(J$3,0),EOMONTH(J$4,0)&gt;=MAX(J$3,$E36),EOMONTH(J$4,0)&lt;=IF($F36="",J$4,MIN(J$4,$F36)))*1),IF($G36=102,(AND(WORKDAY(EOMONTH(J$3,0)+1,-3)&gt;=MAX(J$3,$E36),WORKDAY(EOMONTH(J$3,0)+1,-3)&lt;=IF($F36="",J$4,MIN(J$4,$F36)))*1+AND(WORKDAY(EOMONTH(J$4,0)+1,-3)&lt;&gt;WORKDAY(EOMONTH(J$3,0)+1,-3),WORKDAY(EOMONTH(J$4,0)+1,-3)&gt;=MAX(J$3,$E36),WORKDAY(EOMONTH(J$4,0)+1,-3)&lt;=IF($F36="",J$4,MIN(J$4,$F36)))*1),IF(AND(IF(EDATE($E36,MAX(0,ROUNDUP(((YEAR(J$3)-YEAR($E36))*12+MONTH(J$3)-MONTH($E36))/$G36,0)*$G36))&lt;J$3,EDATE($E36,MAX(0,ROUNDUP(((YEAR(J$3)-YEAR($E36))*12+MONTH(J$3)-MONTH($E36))/$G36,0)*$G36)+$G36),EDATE($E36,MAX(0,ROUNDUP(((YEAR(J$3)-YEAR($E36))*12+MONTH(J$3)-MONTH($E36))/$G36,0)*$G36)))&gt;=J$3,IF(EDATE($E36,MAX(0,ROUNDUP(((YEAR(J$3)-YEAR($E36))*12+MONTH(J$3)-MONTH($E36))/$G36,0)*$G36))&lt;J$3,EDATE($E36,MAX(0,ROUNDUP(((YEAR(J$3)-YEAR($E36))*12+MONTH(J$3)-MONTH($E36))/$G36,0)*$G36)+$G36),EDATE($E36,MAX(0,ROUNDUP(((YEAR(J$3)-YEAR($E36))*12+MONTH(J$3)-MONTH($E36))/$G36,0)*$G36)))&lt;=IF($F36="",J$4,MIN(J$4,$F36))),1,0)))))</f>
        <v>0</v>
      </c>
      <c r="K36" s="25" t="n">
        <f aca="false">IF(OR($C36="",$C36=0,$E36="",$B36="",$G36=-2),0,$C36*IF($G36=0,IF(IF($F36="",K$4,MIN(K$4,$F36))&lt;$E36,0,MAX(0,INT((IF($F36="",K$4,MIN(K$4,$F36))-$E36)/7)+1-MAX(0,ROUNDUP((K$3-$E36)/7,0)))),IF($G36=101,(AND(EOMONTH(K$3,0)&gt;=MAX(K$3,$E36),EOMONTH(K$3,0)&lt;=IF($F36="",K$4,MIN(K$4,$F36)))*1+AND(EOMONTH(K$4,0)&lt;&gt;EOMONTH(K$3,0),EOMONTH(K$4,0)&gt;=MAX(K$3,$E36),EOMONTH(K$4,0)&lt;=IF($F36="",K$4,MIN(K$4,$F36)))*1),IF($G36=102,(AND(WORKDAY(EOMONTH(K$3,0)+1,-3)&gt;=MAX(K$3,$E36),WORKDAY(EOMONTH(K$3,0)+1,-3)&lt;=IF($F36="",K$4,MIN(K$4,$F36)))*1+AND(WORKDAY(EOMONTH(K$4,0)+1,-3)&lt;&gt;WORKDAY(EOMONTH(K$3,0)+1,-3),WORKDAY(EOMONTH(K$4,0)+1,-3)&gt;=MAX(K$3,$E36),WORKDAY(EOMONTH(K$4,0)+1,-3)&lt;=IF($F36="",K$4,MIN(K$4,$F36)))*1),IF(AND(IF(EDATE($E36,MAX(0,ROUNDUP(((YEAR(K$3)-YEAR($E36))*12+MONTH(K$3)-MONTH($E36))/$G36,0)*$G36))&lt;K$3,EDATE($E36,MAX(0,ROUNDUP(((YEAR(K$3)-YEAR($E36))*12+MONTH(K$3)-MONTH($E36))/$G36,0)*$G36)+$G36),EDATE($E36,MAX(0,ROUNDUP(((YEAR(K$3)-YEAR($E36))*12+MONTH(K$3)-MONTH($E36))/$G36,0)*$G36)))&gt;=K$3,IF(EDATE($E36,MAX(0,ROUNDUP(((YEAR(K$3)-YEAR($E36))*12+MONTH(K$3)-MONTH($E36))/$G36,0)*$G36))&lt;K$3,EDATE($E36,MAX(0,ROUNDUP(((YEAR(K$3)-YEAR($E36))*12+MONTH(K$3)-MONTH($E36))/$G36,0)*$G36)+$G36),EDATE($E36,MAX(0,ROUNDUP(((YEAR(K$3)-YEAR($E36))*12+MONTH(K$3)-MONTH($E36))/$G36,0)*$G36)))&lt;=IF($F36="",K$4,MIN(K$4,$F36))),1,0)))))</f>
        <v>0</v>
      </c>
      <c r="L36" s="25" t="n">
        <f aca="false">IF(OR($C36="",$C36=0,$E36="",$B36="",$G36=-2),0,$C36*IF($G36=0,IF(IF($F36="",L$4,MIN(L$4,$F36))&lt;$E36,0,MAX(0,INT((IF($F36="",L$4,MIN(L$4,$F36))-$E36)/7)+1-MAX(0,ROUNDUP((L$3-$E36)/7,0)))),IF($G36=101,(AND(EOMONTH(L$3,0)&gt;=MAX(L$3,$E36),EOMONTH(L$3,0)&lt;=IF($F36="",L$4,MIN(L$4,$F36)))*1+AND(EOMONTH(L$4,0)&lt;&gt;EOMONTH(L$3,0),EOMONTH(L$4,0)&gt;=MAX(L$3,$E36),EOMONTH(L$4,0)&lt;=IF($F36="",L$4,MIN(L$4,$F36)))*1),IF($G36=102,(AND(WORKDAY(EOMONTH(L$3,0)+1,-3)&gt;=MAX(L$3,$E36),WORKDAY(EOMONTH(L$3,0)+1,-3)&lt;=IF($F36="",L$4,MIN(L$4,$F36)))*1+AND(WORKDAY(EOMONTH(L$4,0)+1,-3)&lt;&gt;WORKDAY(EOMONTH(L$3,0)+1,-3),WORKDAY(EOMONTH(L$4,0)+1,-3)&gt;=MAX(L$3,$E36),WORKDAY(EOMONTH(L$4,0)+1,-3)&lt;=IF($F36="",L$4,MIN(L$4,$F36)))*1),IF(AND(IF(EDATE($E36,MAX(0,ROUNDUP(((YEAR(L$3)-YEAR($E36))*12+MONTH(L$3)-MONTH($E36))/$G36,0)*$G36))&lt;L$3,EDATE($E36,MAX(0,ROUNDUP(((YEAR(L$3)-YEAR($E36))*12+MONTH(L$3)-MONTH($E36))/$G36,0)*$G36)+$G36),EDATE($E36,MAX(0,ROUNDUP(((YEAR(L$3)-YEAR($E36))*12+MONTH(L$3)-MONTH($E36))/$G36,0)*$G36)))&gt;=L$3,IF(EDATE($E36,MAX(0,ROUNDUP(((YEAR(L$3)-YEAR($E36))*12+MONTH(L$3)-MONTH($E36))/$G36,0)*$G36))&lt;L$3,EDATE($E36,MAX(0,ROUNDUP(((YEAR(L$3)-YEAR($E36))*12+MONTH(L$3)-MONTH($E36))/$G36,0)*$G36)+$G36),EDATE($E36,MAX(0,ROUNDUP(((YEAR(L$3)-YEAR($E36))*12+MONTH(L$3)-MONTH($E36))/$G36,0)*$G36)))&lt;=IF($F36="",L$4,MIN(L$4,$F36))),1,0)))))</f>
        <v>0</v>
      </c>
      <c r="M36" s="25" t="n">
        <f aca="false">IF(OR($C36="",$C36=0,$E36="",$B36="",$G36=-2),0,$C36*IF($G36=0,IF(IF($F36="",M$4,MIN(M$4,$F36))&lt;$E36,0,MAX(0,INT((IF($F36="",M$4,MIN(M$4,$F36))-$E36)/7)+1-MAX(0,ROUNDUP((M$3-$E36)/7,0)))),IF($G36=101,(AND(EOMONTH(M$3,0)&gt;=MAX(M$3,$E36),EOMONTH(M$3,0)&lt;=IF($F36="",M$4,MIN(M$4,$F36)))*1+AND(EOMONTH(M$4,0)&lt;&gt;EOMONTH(M$3,0),EOMONTH(M$4,0)&gt;=MAX(M$3,$E36),EOMONTH(M$4,0)&lt;=IF($F36="",M$4,MIN(M$4,$F36)))*1),IF($G36=102,(AND(WORKDAY(EOMONTH(M$3,0)+1,-3)&gt;=MAX(M$3,$E36),WORKDAY(EOMONTH(M$3,0)+1,-3)&lt;=IF($F36="",M$4,MIN(M$4,$F36)))*1+AND(WORKDAY(EOMONTH(M$4,0)+1,-3)&lt;&gt;WORKDAY(EOMONTH(M$3,0)+1,-3),WORKDAY(EOMONTH(M$4,0)+1,-3)&gt;=MAX(M$3,$E36),WORKDAY(EOMONTH(M$4,0)+1,-3)&lt;=IF($F36="",M$4,MIN(M$4,$F36)))*1),IF(AND(IF(EDATE($E36,MAX(0,ROUNDUP(((YEAR(M$3)-YEAR($E36))*12+MONTH(M$3)-MONTH($E36))/$G36,0)*$G36))&lt;M$3,EDATE($E36,MAX(0,ROUNDUP(((YEAR(M$3)-YEAR($E36))*12+MONTH(M$3)-MONTH($E36))/$G36,0)*$G36)+$G36),EDATE($E36,MAX(0,ROUNDUP(((YEAR(M$3)-YEAR($E36))*12+MONTH(M$3)-MONTH($E36))/$G36,0)*$G36)))&gt;=M$3,IF(EDATE($E36,MAX(0,ROUNDUP(((YEAR(M$3)-YEAR($E36))*12+MONTH(M$3)-MONTH($E36))/$G36,0)*$G36))&lt;M$3,EDATE($E36,MAX(0,ROUNDUP(((YEAR(M$3)-YEAR($E36))*12+MONTH(M$3)-MONTH($E36))/$G36,0)*$G36)+$G36),EDATE($E36,MAX(0,ROUNDUP(((YEAR(M$3)-YEAR($E36))*12+MONTH(M$3)-MONTH($E36))/$G36,0)*$G36)))&lt;=IF($F36="",M$4,MIN(M$4,$F36))),1,0)))))</f>
        <v>0</v>
      </c>
      <c r="N36" s="25" t="n">
        <f aca="false">IF(OR($C36="",$C36=0,$E36="",$B36="",$G36=-2),0,$C36*IF($G36=0,IF(IF($F36="",N$4,MIN(N$4,$F36))&lt;$E36,0,MAX(0,INT((IF($F36="",N$4,MIN(N$4,$F36))-$E36)/7)+1-MAX(0,ROUNDUP((N$3-$E36)/7,0)))),IF($G36=101,(AND(EOMONTH(N$3,0)&gt;=MAX(N$3,$E36),EOMONTH(N$3,0)&lt;=IF($F36="",N$4,MIN(N$4,$F36)))*1+AND(EOMONTH(N$4,0)&lt;&gt;EOMONTH(N$3,0),EOMONTH(N$4,0)&gt;=MAX(N$3,$E36),EOMONTH(N$4,0)&lt;=IF($F36="",N$4,MIN(N$4,$F36)))*1),IF($G36=102,(AND(WORKDAY(EOMONTH(N$3,0)+1,-3)&gt;=MAX(N$3,$E36),WORKDAY(EOMONTH(N$3,0)+1,-3)&lt;=IF($F36="",N$4,MIN(N$4,$F36)))*1+AND(WORKDAY(EOMONTH(N$4,0)+1,-3)&lt;&gt;WORKDAY(EOMONTH(N$3,0)+1,-3),WORKDAY(EOMONTH(N$4,0)+1,-3)&gt;=MAX(N$3,$E36),WORKDAY(EOMONTH(N$4,0)+1,-3)&lt;=IF($F36="",N$4,MIN(N$4,$F36)))*1),IF(AND(IF(EDATE($E36,MAX(0,ROUNDUP(((YEAR(N$3)-YEAR($E36))*12+MONTH(N$3)-MONTH($E36))/$G36,0)*$G36))&lt;N$3,EDATE($E36,MAX(0,ROUNDUP(((YEAR(N$3)-YEAR($E36))*12+MONTH(N$3)-MONTH($E36))/$G36,0)*$G36)+$G36),EDATE($E36,MAX(0,ROUNDUP(((YEAR(N$3)-YEAR($E36))*12+MONTH(N$3)-MONTH($E36))/$G36,0)*$G36)))&gt;=N$3,IF(EDATE($E36,MAX(0,ROUNDUP(((YEAR(N$3)-YEAR($E36))*12+MONTH(N$3)-MONTH($E36))/$G36,0)*$G36))&lt;N$3,EDATE($E36,MAX(0,ROUNDUP(((YEAR(N$3)-YEAR($E36))*12+MONTH(N$3)-MONTH($E36))/$G36,0)*$G36)+$G36),EDATE($E36,MAX(0,ROUNDUP(((YEAR(N$3)-YEAR($E36))*12+MONTH(N$3)-MONTH($E36))/$G36,0)*$G36)))&lt;=IF($F36="",N$4,MIN(N$4,$F36))),1,0)))))</f>
        <v>0</v>
      </c>
      <c r="O36" s="25" t="n">
        <f aca="false">IF(OR($C36="",$C36=0,$E36="",$B36="",$G36=-2),0,$C36*IF($G36=0,IF(IF($F36="",O$4,MIN(O$4,$F36))&lt;$E36,0,MAX(0,INT((IF($F36="",O$4,MIN(O$4,$F36))-$E36)/7)+1-MAX(0,ROUNDUP((O$3-$E36)/7,0)))),IF($G36=101,(AND(EOMONTH(O$3,0)&gt;=MAX(O$3,$E36),EOMONTH(O$3,0)&lt;=IF($F36="",O$4,MIN(O$4,$F36)))*1+AND(EOMONTH(O$4,0)&lt;&gt;EOMONTH(O$3,0),EOMONTH(O$4,0)&gt;=MAX(O$3,$E36),EOMONTH(O$4,0)&lt;=IF($F36="",O$4,MIN(O$4,$F36)))*1),IF($G36=102,(AND(WORKDAY(EOMONTH(O$3,0)+1,-3)&gt;=MAX(O$3,$E36),WORKDAY(EOMONTH(O$3,0)+1,-3)&lt;=IF($F36="",O$4,MIN(O$4,$F36)))*1+AND(WORKDAY(EOMONTH(O$4,0)+1,-3)&lt;&gt;WORKDAY(EOMONTH(O$3,0)+1,-3),WORKDAY(EOMONTH(O$4,0)+1,-3)&gt;=MAX(O$3,$E36),WORKDAY(EOMONTH(O$4,0)+1,-3)&lt;=IF($F36="",O$4,MIN(O$4,$F36)))*1),IF(AND(IF(EDATE($E36,MAX(0,ROUNDUP(((YEAR(O$3)-YEAR($E36))*12+MONTH(O$3)-MONTH($E36))/$G36,0)*$G36))&lt;O$3,EDATE($E36,MAX(0,ROUNDUP(((YEAR(O$3)-YEAR($E36))*12+MONTH(O$3)-MONTH($E36))/$G36,0)*$G36)+$G36),EDATE($E36,MAX(0,ROUNDUP(((YEAR(O$3)-YEAR($E36))*12+MONTH(O$3)-MONTH($E36))/$G36,0)*$G36)))&gt;=O$3,IF(EDATE($E36,MAX(0,ROUNDUP(((YEAR(O$3)-YEAR($E36))*12+MONTH(O$3)-MONTH($E36))/$G36,0)*$G36))&lt;O$3,EDATE($E36,MAX(0,ROUNDUP(((YEAR(O$3)-YEAR($E36))*12+MONTH(O$3)-MONTH($E36))/$G36,0)*$G36)+$G36),EDATE($E36,MAX(0,ROUNDUP(((YEAR(O$3)-YEAR($E36))*12+MONTH(O$3)-MONTH($E36))/$G36,0)*$G36)))&lt;=IF($F36="",O$4,MIN(O$4,$F36))),1,0)))))</f>
        <v>0</v>
      </c>
      <c r="P36" s="25" t="n">
        <f aca="false">IF(OR($C36="",$C36=0,$E36="",$B36="",$G36=-2),0,$C36*IF($G36=0,IF(IF($F36="",P$4,MIN(P$4,$F36))&lt;$E36,0,MAX(0,INT((IF($F36="",P$4,MIN(P$4,$F36))-$E36)/7)+1-MAX(0,ROUNDUP((P$3-$E36)/7,0)))),IF($G36=101,(AND(EOMONTH(P$3,0)&gt;=MAX(P$3,$E36),EOMONTH(P$3,0)&lt;=IF($F36="",P$4,MIN(P$4,$F36)))*1+AND(EOMONTH(P$4,0)&lt;&gt;EOMONTH(P$3,0),EOMONTH(P$4,0)&gt;=MAX(P$3,$E36),EOMONTH(P$4,0)&lt;=IF($F36="",P$4,MIN(P$4,$F36)))*1),IF($G36=102,(AND(WORKDAY(EOMONTH(P$3,0)+1,-3)&gt;=MAX(P$3,$E36),WORKDAY(EOMONTH(P$3,0)+1,-3)&lt;=IF($F36="",P$4,MIN(P$4,$F36)))*1+AND(WORKDAY(EOMONTH(P$4,0)+1,-3)&lt;&gt;WORKDAY(EOMONTH(P$3,0)+1,-3),WORKDAY(EOMONTH(P$4,0)+1,-3)&gt;=MAX(P$3,$E36),WORKDAY(EOMONTH(P$4,0)+1,-3)&lt;=IF($F36="",P$4,MIN(P$4,$F36)))*1),IF(AND(IF(EDATE($E36,MAX(0,ROUNDUP(((YEAR(P$3)-YEAR($E36))*12+MONTH(P$3)-MONTH($E36))/$G36,0)*$G36))&lt;P$3,EDATE($E36,MAX(0,ROUNDUP(((YEAR(P$3)-YEAR($E36))*12+MONTH(P$3)-MONTH($E36))/$G36,0)*$G36)+$G36),EDATE($E36,MAX(0,ROUNDUP(((YEAR(P$3)-YEAR($E36))*12+MONTH(P$3)-MONTH($E36))/$G36,0)*$G36)))&gt;=P$3,IF(EDATE($E36,MAX(0,ROUNDUP(((YEAR(P$3)-YEAR($E36))*12+MONTH(P$3)-MONTH($E36))/$G36,0)*$G36))&lt;P$3,EDATE($E36,MAX(0,ROUNDUP(((YEAR(P$3)-YEAR($E36))*12+MONTH(P$3)-MONTH($E36))/$G36,0)*$G36)+$G36),EDATE($E36,MAX(0,ROUNDUP(((YEAR(P$3)-YEAR($E36))*12+MONTH(P$3)-MONTH($E36))/$G36,0)*$G36)))&lt;=IF($F36="",P$4,MIN(P$4,$F36))),1,0)))))</f>
        <v>0</v>
      </c>
      <c r="Q36" s="25" t="n">
        <f aca="false">IF(OR($C36="",$C36=0,$E36="",$B36="",$G36=-2),0,$C36*IF($G36=0,IF(IF($F36="",Q$4,MIN(Q$4,$F36))&lt;$E36,0,MAX(0,INT((IF($F36="",Q$4,MIN(Q$4,$F36))-$E36)/7)+1-MAX(0,ROUNDUP((Q$3-$E36)/7,0)))),IF($G36=101,(AND(EOMONTH(Q$3,0)&gt;=MAX(Q$3,$E36),EOMONTH(Q$3,0)&lt;=IF($F36="",Q$4,MIN(Q$4,$F36)))*1+AND(EOMONTH(Q$4,0)&lt;&gt;EOMONTH(Q$3,0),EOMONTH(Q$4,0)&gt;=MAX(Q$3,$E36),EOMONTH(Q$4,0)&lt;=IF($F36="",Q$4,MIN(Q$4,$F36)))*1),IF($G36=102,(AND(WORKDAY(EOMONTH(Q$3,0)+1,-3)&gt;=MAX(Q$3,$E36),WORKDAY(EOMONTH(Q$3,0)+1,-3)&lt;=IF($F36="",Q$4,MIN(Q$4,$F36)))*1+AND(WORKDAY(EOMONTH(Q$4,0)+1,-3)&lt;&gt;WORKDAY(EOMONTH(Q$3,0)+1,-3),WORKDAY(EOMONTH(Q$4,0)+1,-3)&gt;=MAX(Q$3,$E36),WORKDAY(EOMONTH(Q$4,0)+1,-3)&lt;=IF($F36="",Q$4,MIN(Q$4,$F36)))*1),IF(AND(IF(EDATE($E36,MAX(0,ROUNDUP(((YEAR(Q$3)-YEAR($E36))*12+MONTH(Q$3)-MONTH($E36))/$G36,0)*$G36))&lt;Q$3,EDATE($E36,MAX(0,ROUNDUP(((YEAR(Q$3)-YEAR($E36))*12+MONTH(Q$3)-MONTH($E36))/$G36,0)*$G36)+$G36),EDATE($E36,MAX(0,ROUNDUP(((YEAR(Q$3)-YEAR($E36))*12+MONTH(Q$3)-MONTH($E36))/$G36,0)*$G36)))&gt;=Q$3,IF(EDATE($E36,MAX(0,ROUNDUP(((YEAR(Q$3)-YEAR($E36))*12+MONTH(Q$3)-MONTH($E36))/$G36,0)*$G36))&lt;Q$3,EDATE($E36,MAX(0,ROUNDUP(((YEAR(Q$3)-YEAR($E36))*12+MONTH(Q$3)-MONTH($E36))/$G36,0)*$G36)+$G36),EDATE($E36,MAX(0,ROUNDUP(((YEAR(Q$3)-YEAR($E36))*12+MONTH(Q$3)-MONTH($E36))/$G36,0)*$G36)))&lt;=IF($F36="",Q$4,MIN(Q$4,$F36))),1,0)))))</f>
        <v>0</v>
      </c>
      <c r="R36" s="25" t="n">
        <f aca="false">IF(OR($C36="",$C36=0,$E36="",$B36="",$G36=-2),0,$C36*IF($G36=0,IF(IF($F36="",R$4,MIN(R$4,$F36))&lt;$E36,0,MAX(0,INT((IF($F36="",R$4,MIN(R$4,$F36))-$E36)/7)+1-MAX(0,ROUNDUP((R$3-$E36)/7,0)))),IF($G36=101,(AND(EOMONTH(R$3,0)&gt;=MAX(R$3,$E36),EOMONTH(R$3,0)&lt;=IF($F36="",R$4,MIN(R$4,$F36)))*1+AND(EOMONTH(R$4,0)&lt;&gt;EOMONTH(R$3,0),EOMONTH(R$4,0)&gt;=MAX(R$3,$E36),EOMONTH(R$4,0)&lt;=IF($F36="",R$4,MIN(R$4,$F36)))*1),IF($G36=102,(AND(WORKDAY(EOMONTH(R$3,0)+1,-3)&gt;=MAX(R$3,$E36),WORKDAY(EOMONTH(R$3,0)+1,-3)&lt;=IF($F36="",R$4,MIN(R$4,$F36)))*1+AND(WORKDAY(EOMONTH(R$4,0)+1,-3)&lt;&gt;WORKDAY(EOMONTH(R$3,0)+1,-3),WORKDAY(EOMONTH(R$4,0)+1,-3)&gt;=MAX(R$3,$E36),WORKDAY(EOMONTH(R$4,0)+1,-3)&lt;=IF($F36="",R$4,MIN(R$4,$F36)))*1),IF(AND(IF(EDATE($E36,MAX(0,ROUNDUP(((YEAR(R$3)-YEAR($E36))*12+MONTH(R$3)-MONTH($E36))/$G36,0)*$G36))&lt;R$3,EDATE($E36,MAX(0,ROUNDUP(((YEAR(R$3)-YEAR($E36))*12+MONTH(R$3)-MONTH($E36))/$G36,0)*$G36)+$G36),EDATE($E36,MAX(0,ROUNDUP(((YEAR(R$3)-YEAR($E36))*12+MONTH(R$3)-MONTH($E36))/$G36,0)*$G36)))&gt;=R$3,IF(EDATE($E36,MAX(0,ROUNDUP(((YEAR(R$3)-YEAR($E36))*12+MONTH(R$3)-MONTH($E36))/$G36,0)*$G36))&lt;R$3,EDATE($E36,MAX(0,ROUNDUP(((YEAR(R$3)-YEAR($E36))*12+MONTH(R$3)-MONTH($E36))/$G36,0)*$G36)+$G36),EDATE($E36,MAX(0,ROUNDUP(((YEAR(R$3)-YEAR($E36))*12+MONTH(R$3)-MONTH($E36))/$G36,0)*$G36)))&lt;=IF($F36="",R$4,MIN(R$4,$F36))),1,0)))))</f>
        <v>0</v>
      </c>
      <c r="S36" s="25" t="n">
        <f aca="false">IF(OR($C36="",$C36=0,$E36="",$B36="",$G36=-2),0,$C36*IF($G36=0,IF(IF($F36="",S$4,MIN(S$4,$F36))&lt;$E36,0,MAX(0,INT((IF($F36="",S$4,MIN(S$4,$F36))-$E36)/7)+1-MAX(0,ROUNDUP((S$3-$E36)/7,0)))),IF($G36=101,(AND(EOMONTH(S$3,0)&gt;=MAX(S$3,$E36),EOMONTH(S$3,0)&lt;=IF($F36="",S$4,MIN(S$4,$F36)))*1+AND(EOMONTH(S$4,0)&lt;&gt;EOMONTH(S$3,0),EOMONTH(S$4,0)&gt;=MAX(S$3,$E36),EOMONTH(S$4,0)&lt;=IF($F36="",S$4,MIN(S$4,$F36)))*1),IF($G36=102,(AND(WORKDAY(EOMONTH(S$3,0)+1,-3)&gt;=MAX(S$3,$E36),WORKDAY(EOMONTH(S$3,0)+1,-3)&lt;=IF($F36="",S$4,MIN(S$4,$F36)))*1+AND(WORKDAY(EOMONTH(S$4,0)+1,-3)&lt;&gt;WORKDAY(EOMONTH(S$3,0)+1,-3),WORKDAY(EOMONTH(S$4,0)+1,-3)&gt;=MAX(S$3,$E36),WORKDAY(EOMONTH(S$4,0)+1,-3)&lt;=IF($F36="",S$4,MIN(S$4,$F36)))*1),IF(AND(IF(EDATE($E36,MAX(0,ROUNDUP(((YEAR(S$3)-YEAR($E36))*12+MONTH(S$3)-MONTH($E36))/$G36,0)*$G36))&lt;S$3,EDATE($E36,MAX(0,ROUNDUP(((YEAR(S$3)-YEAR($E36))*12+MONTH(S$3)-MONTH($E36))/$G36,0)*$G36)+$G36),EDATE($E36,MAX(0,ROUNDUP(((YEAR(S$3)-YEAR($E36))*12+MONTH(S$3)-MONTH($E36))/$G36,0)*$G36)))&gt;=S$3,IF(EDATE($E36,MAX(0,ROUNDUP(((YEAR(S$3)-YEAR($E36))*12+MONTH(S$3)-MONTH($E36))/$G36,0)*$G36))&lt;S$3,EDATE($E36,MAX(0,ROUNDUP(((YEAR(S$3)-YEAR($E36))*12+MONTH(S$3)-MONTH($E36))/$G36,0)*$G36)+$G36),EDATE($E36,MAX(0,ROUNDUP(((YEAR(S$3)-YEAR($E36))*12+MONTH(S$3)-MONTH($E36))/$G36,0)*$G36)))&lt;=IF($F36="",S$4,MIN(S$4,$F36))),1,0)))))</f>
        <v>0</v>
      </c>
      <c r="T36" s="25" t="n">
        <f aca="false">IF(OR($C36="",$C36=0,$E36="",$B36="",$G36=-2),0,$C36*IF($G36=0,IF(IF($F36="",T$4,MIN(T$4,$F36))&lt;$E36,0,MAX(0,INT((IF($F36="",T$4,MIN(T$4,$F36))-$E36)/7)+1-MAX(0,ROUNDUP((T$3-$E36)/7,0)))),IF($G36=101,(AND(EOMONTH(T$3,0)&gt;=MAX(T$3,$E36),EOMONTH(T$3,0)&lt;=IF($F36="",T$4,MIN(T$4,$F36)))*1+AND(EOMONTH(T$4,0)&lt;&gt;EOMONTH(T$3,0),EOMONTH(T$4,0)&gt;=MAX(T$3,$E36),EOMONTH(T$4,0)&lt;=IF($F36="",T$4,MIN(T$4,$F36)))*1),IF($G36=102,(AND(WORKDAY(EOMONTH(T$3,0)+1,-3)&gt;=MAX(T$3,$E36),WORKDAY(EOMONTH(T$3,0)+1,-3)&lt;=IF($F36="",T$4,MIN(T$4,$F36)))*1+AND(WORKDAY(EOMONTH(T$4,0)+1,-3)&lt;&gt;WORKDAY(EOMONTH(T$3,0)+1,-3),WORKDAY(EOMONTH(T$4,0)+1,-3)&gt;=MAX(T$3,$E36),WORKDAY(EOMONTH(T$4,0)+1,-3)&lt;=IF($F36="",T$4,MIN(T$4,$F36)))*1),IF(AND(IF(EDATE($E36,MAX(0,ROUNDUP(((YEAR(T$3)-YEAR($E36))*12+MONTH(T$3)-MONTH($E36))/$G36,0)*$G36))&lt;T$3,EDATE($E36,MAX(0,ROUNDUP(((YEAR(T$3)-YEAR($E36))*12+MONTH(T$3)-MONTH($E36))/$G36,0)*$G36)+$G36),EDATE($E36,MAX(0,ROUNDUP(((YEAR(T$3)-YEAR($E36))*12+MONTH(T$3)-MONTH($E36))/$G36,0)*$G36)))&gt;=T$3,IF(EDATE($E36,MAX(0,ROUNDUP(((YEAR(T$3)-YEAR($E36))*12+MONTH(T$3)-MONTH($E36))/$G36,0)*$G36))&lt;T$3,EDATE($E36,MAX(0,ROUNDUP(((YEAR(T$3)-YEAR($E36))*12+MONTH(T$3)-MONTH($E36))/$G36,0)*$G36)+$G36),EDATE($E36,MAX(0,ROUNDUP(((YEAR(T$3)-YEAR($E36))*12+MONTH(T$3)-MONTH($E36))/$G36,0)*$G36)))&lt;=IF($F36="",T$4,MIN(T$4,$F36))),1,0)))))</f>
        <v>0</v>
      </c>
      <c r="U36" s="25" t="n">
        <f aca="false">IF(OR($C36="",$C36=0,$E36="",$B36="",$G36=-2),0,$C36*IF($G36=0,IF(IF($F36="",U$4,MIN(U$4,$F36))&lt;$E36,0,MAX(0,INT((IF($F36="",U$4,MIN(U$4,$F36))-$E36)/7)+1-MAX(0,ROUNDUP((U$3-$E36)/7,0)))),IF($G36=101,(AND(EOMONTH(U$3,0)&gt;=MAX(U$3,$E36),EOMONTH(U$3,0)&lt;=IF($F36="",U$4,MIN(U$4,$F36)))*1+AND(EOMONTH(U$4,0)&lt;&gt;EOMONTH(U$3,0),EOMONTH(U$4,0)&gt;=MAX(U$3,$E36),EOMONTH(U$4,0)&lt;=IF($F36="",U$4,MIN(U$4,$F36)))*1),IF($G36=102,(AND(WORKDAY(EOMONTH(U$3,0)+1,-3)&gt;=MAX(U$3,$E36),WORKDAY(EOMONTH(U$3,0)+1,-3)&lt;=IF($F36="",U$4,MIN(U$4,$F36)))*1+AND(WORKDAY(EOMONTH(U$4,0)+1,-3)&lt;&gt;WORKDAY(EOMONTH(U$3,0)+1,-3),WORKDAY(EOMONTH(U$4,0)+1,-3)&gt;=MAX(U$3,$E36),WORKDAY(EOMONTH(U$4,0)+1,-3)&lt;=IF($F36="",U$4,MIN(U$4,$F36)))*1),IF(AND(IF(EDATE($E36,MAX(0,ROUNDUP(((YEAR(U$3)-YEAR($E36))*12+MONTH(U$3)-MONTH($E36))/$G36,0)*$G36))&lt;U$3,EDATE($E36,MAX(0,ROUNDUP(((YEAR(U$3)-YEAR($E36))*12+MONTH(U$3)-MONTH($E36))/$G36,0)*$G36)+$G36),EDATE($E36,MAX(0,ROUNDUP(((YEAR(U$3)-YEAR($E36))*12+MONTH(U$3)-MONTH($E36))/$G36,0)*$G36)))&gt;=U$3,IF(EDATE($E36,MAX(0,ROUNDUP(((YEAR(U$3)-YEAR($E36))*12+MONTH(U$3)-MONTH($E36))/$G36,0)*$G36))&lt;U$3,EDATE($E36,MAX(0,ROUNDUP(((YEAR(U$3)-YEAR($E36))*12+MONTH(U$3)-MONTH($E36))/$G36,0)*$G36)+$G36),EDATE($E36,MAX(0,ROUNDUP(((YEAR(U$3)-YEAR($E36))*12+MONTH(U$3)-MONTH($E36))/$G36,0)*$G36)))&lt;=IF($F36="",U$4,MIN(U$4,$F36))),1,0)))))</f>
        <v>0</v>
      </c>
      <c r="V36" s="25" t="n">
        <f aca="false">IF(OR($C36="",$C36=0,$E36="",$B36="",$G36=-2),0,$C36*IF($G36=0,IF(IF($F36="",V$4,MIN(V$4,$F36))&lt;$E36,0,MAX(0,INT((IF($F36="",V$4,MIN(V$4,$F36))-$E36)/7)+1-MAX(0,ROUNDUP((V$3-$E36)/7,0)))),IF($G36=101,(AND(EOMONTH(V$3,0)&gt;=MAX(V$3,$E36),EOMONTH(V$3,0)&lt;=IF($F36="",V$4,MIN(V$4,$F36)))*1+AND(EOMONTH(V$4,0)&lt;&gt;EOMONTH(V$3,0),EOMONTH(V$4,0)&gt;=MAX(V$3,$E36),EOMONTH(V$4,0)&lt;=IF($F36="",V$4,MIN(V$4,$F36)))*1),IF($G36=102,(AND(WORKDAY(EOMONTH(V$3,0)+1,-3)&gt;=MAX(V$3,$E36),WORKDAY(EOMONTH(V$3,0)+1,-3)&lt;=IF($F36="",V$4,MIN(V$4,$F36)))*1+AND(WORKDAY(EOMONTH(V$4,0)+1,-3)&lt;&gt;WORKDAY(EOMONTH(V$3,0)+1,-3),WORKDAY(EOMONTH(V$4,0)+1,-3)&gt;=MAX(V$3,$E36),WORKDAY(EOMONTH(V$4,0)+1,-3)&lt;=IF($F36="",V$4,MIN(V$4,$F36)))*1),IF(AND(IF(EDATE($E36,MAX(0,ROUNDUP(((YEAR(V$3)-YEAR($E36))*12+MONTH(V$3)-MONTH($E36))/$G36,0)*$G36))&lt;V$3,EDATE($E36,MAX(0,ROUNDUP(((YEAR(V$3)-YEAR($E36))*12+MONTH(V$3)-MONTH($E36))/$G36,0)*$G36)+$G36),EDATE($E36,MAX(0,ROUNDUP(((YEAR(V$3)-YEAR($E36))*12+MONTH(V$3)-MONTH($E36))/$G36,0)*$G36)))&gt;=V$3,IF(EDATE($E36,MAX(0,ROUNDUP(((YEAR(V$3)-YEAR($E36))*12+MONTH(V$3)-MONTH($E36))/$G36,0)*$G36))&lt;V$3,EDATE($E36,MAX(0,ROUNDUP(((YEAR(V$3)-YEAR($E36))*12+MONTH(V$3)-MONTH($E36))/$G36,0)*$G36)+$G36),EDATE($E36,MAX(0,ROUNDUP(((YEAR(V$3)-YEAR($E36))*12+MONTH(V$3)-MONTH($E36))/$G36,0)*$G36)))&lt;=IF($F36="",V$4,MIN(V$4,$F36))),1,0)))))</f>
        <v>0</v>
      </c>
      <c r="W36" s="25" t="n">
        <f aca="false">IF(OR($C36="",$C36=0,$E36="",$B36="",$G36=-2),0,$C36*IF($G36=0,IF(IF($F36="",W$4,MIN(W$4,$F36))&lt;$E36,0,MAX(0,INT((IF($F36="",W$4,MIN(W$4,$F36))-$E36)/7)+1-MAX(0,ROUNDUP((W$3-$E36)/7,0)))),IF($G36=101,(AND(EOMONTH(W$3,0)&gt;=MAX(W$3,$E36),EOMONTH(W$3,0)&lt;=IF($F36="",W$4,MIN(W$4,$F36)))*1+AND(EOMONTH(W$4,0)&lt;&gt;EOMONTH(W$3,0),EOMONTH(W$4,0)&gt;=MAX(W$3,$E36),EOMONTH(W$4,0)&lt;=IF($F36="",W$4,MIN(W$4,$F36)))*1),IF($G36=102,(AND(WORKDAY(EOMONTH(W$3,0)+1,-3)&gt;=MAX(W$3,$E36),WORKDAY(EOMONTH(W$3,0)+1,-3)&lt;=IF($F36="",W$4,MIN(W$4,$F36)))*1+AND(WORKDAY(EOMONTH(W$4,0)+1,-3)&lt;&gt;WORKDAY(EOMONTH(W$3,0)+1,-3),WORKDAY(EOMONTH(W$4,0)+1,-3)&gt;=MAX(W$3,$E36),WORKDAY(EOMONTH(W$4,0)+1,-3)&lt;=IF($F36="",W$4,MIN(W$4,$F36)))*1),IF(AND(IF(EDATE($E36,MAX(0,ROUNDUP(((YEAR(W$3)-YEAR($E36))*12+MONTH(W$3)-MONTH($E36))/$G36,0)*$G36))&lt;W$3,EDATE($E36,MAX(0,ROUNDUP(((YEAR(W$3)-YEAR($E36))*12+MONTH(W$3)-MONTH($E36))/$G36,0)*$G36)+$G36),EDATE($E36,MAX(0,ROUNDUP(((YEAR(W$3)-YEAR($E36))*12+MONTH(W$3)-MONTH($E36))/$G36,0)*$G36)))&gt;=W$3,IF(EDATE($E36,MAX(0,ROUNDUP(((YEAR(W$3)-YEAR($E36))*12+MONTH(W$3)-MONTH($E36))/$G36,0)*$G36))&lt;W$3,EDATE($E36,MAX(0,ROUNDUP(((YEAR(W$3)-YEAR($E36))*12+MONTH(W$3)-MONTH($E36))/$G36,0)*$G36)+$G36),EDATE($E36,MAX(0,ROUNDUP(((YEAR(W$3)-YEAR($E36))*12+MONTH(W$3)-MONTH($E36))/$G36,0)*$G36)))&lt;=IF($F36="",W$4,MIN(W$4,$F36))),1,0)))))</f>
        <v>0</v>
      </c>
      <c r="X36" s="25" t="n">
        <f aca="false">IF(OR($C36="",$C36=0,$E36="",$B36="",$G36=-2),0,$C36*IF($G36=0,IF(IF($F36="",X$4,MIN(X$4,$F36))&lt;$E36,0,MAX(0,INT((IF($F36="",X$4,MIN(X$4,$F36))-$E36)/7)+1-MAX(0,ROUNDUP((X$3-$E36)/7,0)))),IF($G36=101,(AND(EOMONTH(X$3,0)&gt;=MAX(X$3,$E36),EOMONTH(X$3,0)&lt;=IF($F36="",X$4,MIN(X$4,$F36)))*1+AND(EOMONTH(X$4,0)&lt;&gt;EOMONTH(X$3,0),EOMONTH(X$4,0)&gt;=MAX(X$3,$E36),EOMONTH(X$4,0)&lt;=IF($F36="",X$4,MIN(X$4,$F36)))*1),IF($G36=102,(AND(WORKDAY(EOMONTH(X$3,0)+1,-3)&gt;=MAX(X$3,$E36),WORKDAY(EOMONTH(X$3,0)+1,-3)&lt;=IF($F36="",X$4,MIN(X$4,$F36)))*1+AND(WORKDAY(EOMONTH(X$4,0)+1,-3)&lt;&gt;WORKDAY(EOMONTH(X$3,0)+1,-3),WORKDAY(EOMONTH(X$4,0)+1,-3)&gt;=MAX(X$3,$E36),WORKDAY(EOMONTH(X$4,0)+1,-3)&lt;=IF($F36="",X$4,MIN(X$4,$F36)))*1),IF(AND(IF(EDATE($E36,MAX(0,ROUNDUP(((YEAR(X$3)-YEAR($E36))*12+MONTH(X$3)-MONTH($E36))/$G36,0)*$G36))&lt;X$3,EDATE($E36,MAX(0,ROUNDUP(((YEAR(X$3)-YEAR($E36))*12+MONTH(X$3)-MONTH($E36))/$G36,0)*$G36)+$G36),EDATE($E36,MAX(0,ROUNDUP(((YEAR(X$3)-YEAR($E36))*12+MONTH(X$3)-MONTH($E36))/$G36,0)*$G36)))&gt;=X$3,IF(EDATE($E36,MAX(0,ROUNDUP(((YEAR(X$3)-YEAR($E36))*12+MONTH(X$3)-MONTH($E36))/$G36,0)*$G36))&lt;X$3,EDATE($E36,MAX(0,ROUNDUP(((YEAR(X$3)-YEAR($E36))*12+MONTH(X$3)-MONTH($E36))/$G36,0)*$G36)+$G36),EDATE($E36,MAX(0,ROUNDUP(((YEAR(X$3)-YEAR($E36))*12+MONTH(X$3)-MONTH($E36))/$G36,0)*$G36)))&lt;=IF($F36="",X$4,MIN(X$4,$F36))),1,0)))))</f>
        <v>0</v>
      </c>
      <c r="Y36" s="25" t="n">
        <f aca="false">IF(OR($C36="",$C36=0,$E36="",$B36="",$G36=-2),0,$C36*IF($G36=0,IF(IF($F36="",Y$4,MIN(Y$4,$F36))&lt;$E36,0,MAX(0,INT((IF($F36="",Y$4,MIN(Y$4,$F36))-$E36)/7)+1-MAX(0,ROUNDUP((Y$3-$E36)/7,0)))),IF($G36=101,(AND(EOMONTH(Y$3,0)&gt;=MAX(Y$3,$E36),EOMONTH(Y$3,0)&lt;=IF($F36="",Y$4,MIN(Y$4,$F36)))*1+AND(EOMONTH(Y$4,0)&lt;&gt;EOMONTH(Y$3,0),EOMONTH(Y$4,0)&gt;=MAX(Y$3,$E36),EOMONTH(Y$4,0)&lt;=IF($F36="",Y$4,MIN(Y$4,$F36)))*1),IF($G36=102,(AND(WORKDAY(EOMONTH(Y$3,0)+1,-3)&gt;=MAX(Y$3,$E36),WORKDAY(EOMONTH(Y$3,0)+1,-3)&lt;=IF($F36="",Y$4,MIN(Y$4,$F36)))*1+AND(WORKDAY(EOMONTH(Y$4,0)+1,-3)&lt;&gt;WORKDAY(EOMONTH(Y$3,0)+1,-3),WORKDAY(EOMONTH(Y$4,0)+1,-3)&gt;=MAX(Y$3,$E36),WORKDAY(EOMONTH(Y$4,0)+1,-3)&lt;=IF($F36="",Y$4,MIN(Y$4,$F36)))*1),IF(AND(IF(EDATE($E36,MAX(0,ROUNDUP(((YEAR(Y$3)-YEAR($E36))*12+MONTH(Y$3)-MONTH($E36))/$G36,0)*$G36))&lt;Y$3,EDATE($E36,MAX(0,ROUNDUP(((YEAR(Y$3)-YEAR($E36))*12+MONTH(Y$3)-MONTH($E36))/$G36,0)*$G36)+$G36),EDATE($E36,MAX(0,ROUNDUP(((YEAR(Y$3)-YEAR($E36))*12+MONTH(Y$3)-MONTH($E36))/$G36,0)*$G36)))&gt;=Y$3,IF(EDATE($E36,MAX(0,ROUNDUP(((YEAR(Y$3)-YEAR($E36))*12+MONTH(Y$3)-MONTH($E36))/$G36,0)*$G36))&lt;Y$3,EDATE($E36,MAX(0,ROUNDUP(((YEAR(Y$3)-YEAR($E36))*12+MONTH(Y$3)-MONTH($E36))/$G36,0)*$G36)+$G36),EDATE($E36,MAX(0,ROUNDUP(((YEAR(Y$3)-YEAR($E36))*12+MONTH(Y$3)-MONTH($E36))/$G36,0)*$G36)))&lt;=IF($F36="",Y$4,MIN(Y$4,$F36))),1,0)))))</f>
        <v>0</v>
      </c>
      <c r="Z36" s="25" t="n">
        <f aca="false">IF(OR($C36="",$C36=0,$E36="",$B36="",$G36=-2),0,$C36*IF($G36=0,IF(IF($F36="",Z$4,MIN(Z$4,$F36))&lt;$E36,0,MAX(0,INT((IF($F36="",Z$4,MIN(Z$4,$F36))-$E36)/7)+1-MAX(0,ROUNDUP((Z$3-$E36)/7,0)))),IF($G36=101,(AND(EOMONTH(Z$3,0)&gt;=MAX(Z$3,$E36),EOMONTH(Z$3,0)&lt;=IF($F36="",Z$4,MIN(Z$4,$F36)))*1+AND(EOMONTH(Z$4,0)&lt;&gt;EOMONTH(Z$3,0),EOMONTH(Z$4,0)&gt;=MAX(Z$3,$E36),EOMONTH(Z$4,0)&lt;=IF($F36="",Z$4,MIN(Z$4,$F36)))*1),IF($G36=102,(AND(WORKDAY(EOMONTH(Z$3,0)+1,-3)&gt;=MAX(Z$3,$E36),WORKDAY(EOMONTH(Z$3,0)+1,-3)&lt;=IF($F36="",Z$4,MIN(Z$4,$F36)))*1+AND(WORKDAY(EOMONTH(Z$4,0)+1,-3)&lt;&gt;WORKDAY(EOMONTH(Z$3,0)+1,-3),WORKDAY(EOMONTH(Z$4,0)+1,-3)&gt;=MAX(Z$3,$E36),WORKDAY(EOMONTH(Z$4,0)+1,-3)&lt;=IF($F36="",Z$4,MIN(Z$4,$F36)))*1),IF(AND(IF(EDATE($E36,MAX(0,ROUNDUP(((YEAR(Z$3)-YEAR($E36))*12+MONTH(Z$3)-MONTH($E36))/$G36,0)*$G36))&lt;Z$3,EDATE($E36,MAX(0,ROUNDUP(((YEAR(Z$3)-YEAR($E36))*12+MONTH(Z$3)-MONTH($E36))/$G36,0)*$G36)+$G36),EDATE($E36,MAX(0,ROUNDUP(((YEAR(Z$3)-YEAR($E36))*12+MONTH(Z$3)-MONTH($E36))/$G36,0)*$G36)))&gt;=Z$3,IF(EDATE($E36,MAX(0,ROUNDUP(((YEAR(Z$3)-YEAR($E36))*12+MONTH(Z$3)-MONTH($E36))/$G36,0)*$G36))&lt;Z$3,EDATE($E36,MAX(0,ROUNDUP(((YEAR(Z$3)-YEAR($E36))*12+MONTH(Z$3)-MONTH($E36))/$G36,0)*$G36)+$G36),EDATE($E36,MAX(0,ROUNDUP(((YEAR(Z$3)-YEAR($E36))*12+MONTH(Z$3)-MONTH($E36))/$G36,0)*$G36)))&lt;=IF($F36="",Z$4,MIN(Z$4,$F36))),1,0)))))</f>
        <v>0</v>
      </c>
      <c r="AA36" s="25" t="n">
        <f aca="false">IF(OR($C36="",$C36=0,$E36="",$B36="",$G36=-2),0,$C36*IF($G36=0,IF(IF($F36="",AA$4,MIN(AA$4,$F36))&lt;$E36,0,MAX(0,INT((IF($F36="",AA$4,MIN(AA$4,$F36))-$E36)/7)+1-MAX(0,ROUNDUP((AA$3-$E36)/7,0)))),IF($G36=101,(AND(EOMONTH(AA$3,0)&gt;=MAX(AA$3,$E36),EOMONTH(AA$3,0)&lt;=IF($F36="",AA$4,MIN(AA$4,$F36)))*1+AND(EOMONTH(AA$4,0)&lt;&gt;EOMONTH(AA$3,0),EOMONTH(AA$4,0)&gt;=MAX(AA$3,$E36),EOMONTH(AA$4,0)&lt;=IF($F36="",AA$4,MIN(AA$4,$F36)))*1),IF($G36=102,(AND(WORKDAY(EOMONTH(AA$3,0)+1,-3)&gt;=MAX(AA$3,$E36),WORKDAY(EOMONTH(AA$3,0)+1,-3)&lt;=IF($F36="",AA$4,MIN(AA$4,$F36)))*1+AND(WORKDAY(EOMONTH(AA$4,0)+1,-3)&lt;&gt;WORKDAY(EOMONTH(AA$3,0)+1,-3),WORKDAY(EOMONTH(AA$4,0)+1,-3)&gt;=MAX(AA$3,$E36),WORKDAY(EOMONTH(AA$4,0)+1,-3)&lt;=IF($F36="",AA$4,MIN(AA$4,$F36)))*1),IF(AND(IF(EDATE($E36,MAX(0,ROUNDUP(((YEAR(AA$3)-YEAR($E36))*12+MONTH(AA$3)-MONTH($E36))/$G36,0)*$G36))&lt;AA$3,EDATE($E36,MAX(0,ROUNDUP(((YEAR(AA$3)-YEAR($E36))*12+MONTH(AA$3)-MONTH($E36))/$G36,0)*$G36)+$G36),EDATE($E36,MAX(0,ROUNDUP(((YEAR(AA$3)-YEAR($E36))*12+MONTH(AA$3)-MONTH($E36))/$G36,0)*$G36)))&gt;=AA$3,IF(EDATE($E36,MAX(0,ROUNDUP(((YEAR(AA$3)-YEAR($E36))*12+MONTH(AA$3)-MONTH($E36))/$G36,0)*$G36))&lt;AA$3,EDATE($E36,MAX(0,ROUNDUP(((YEAR(AA$3)-YEAR($E36))*12+MONTH(AA$3)-MONTH($E36))/$G36,0)*$G36)+$G36),EDATE($E36,MAX(0,ROUNDUP(((YEAR(AA$3)-YEAR($E36))*12+MONTH(AA$3)-MONTH($E36))/$G36,0)*$G36)))&lt;=IF($F36="",AA$4,MIN(AA$4,$F36))),1,0)))))</f>
        <v>0</v>
      </c>
      <c r="AB36" s="25" t="n">
        <f aca="false">IF(OR($C36="",$C36=0,$E36="",$B36="",$G36=-2),0,$C36*IF($G36=0,IF(IF($F36="",AB$4,MIN(AB$4,$F36))&lt;$E36,0,MAX(0,INT((IF($F36="",AB$4,MIN(AB$4,$F36))-$E36)/7)+1-MAX(0,ROUNDUP((AB$3-$E36)/7,0)))),IF($G36=101,(AND(EOMONTH(AB$3,0)&gt;=MAX(AB$3,$E36),EOMONTH(AB$3,0)&lt;=IF($F36="",AB$4,MIN(AB$4,$F36)))*1+AND(EOMONTH(AB$4,0)&lt;&gt;EOMONTH(AB$3,0),EOMONTH(AB$4,0)&gt;=MAX(AB$3,$E36),EOMONTH(AB$4,0)&lt;=IF($F36="",AB$4,MIN(AB$4,$F36)))*1),IF($G36=102,(AND(WORKDAY(EOMONTH(AB$3,0)+1,-3)&gt;=MAX(AB$3,$E36),WORKDAY(EOMONTH(AB$3,0)+1,-3)&lt;=IF($F36="",AB$4,MIN(AB$4,$F36)))*1+AND(WORKDAY(EOMONTH(AB$4,0)+1,-3)&lt;&gt;WORKDAY(EOMONTH(AB$3,0)+1,-3),WORKDAY(EOMONTH(AB$4,0)+1,-3)&gt;=MAX(AB$3,$E36),WORKDAY(EOMONTH(AB$4,0)+1,-3)&lt;=IF($F36="",AB$4,MIN(AB$4,$F36)))*1),IF(AND(IF(EDATE($E36,MAX(0,ROUNDUP(((YEAR(AB$3)-YEAR($E36))*12+MONTH(AB$3)-MONTH($E36))/$G36,0)*$G36))&lt;AB$3,EDATE($E36,MAX(0,ROUNDUP(((YEAR(AB$3)-YEAR($E36))*12+MONTH(AB$3)-MONTH($E36))/$G36,0)*$G36)+$G36),EDATE($E36,MAX(0,ROUNDUP(((YEAR(AB$3)-YEAR($E36))*12+MONTH(AB$3)-MONTH($E36))/$G36,0)*$G36)))&gt;=AB$3,IF(EDATE($E36,MAX(0,ROUNDUP(((YEAR(AB$3)-YEAR($E36))*12+MONTH(AB$3)-MONTH($E36))/$G36,0)*$G36))&lt;AB$3,EDATE($E36,MAX(0,ROUNDUP(((YEAR(AB$3)-YEAR($E36))*12+MONTH(AB$3)-MONTH($E36))/$G36,0)*$G36)+$G36),EDATE($E36,MAX(0,ROUNDUP(((YEAR(AB$3)-YEAR($E36))*12+MONTH(AB$3)-MONTH($E36))/$G36,0)*$G36)))&lt;=IF($F36="",AB$4,MIN(AB$4,$F36))),1,0)))))</f>
        <v>0</v>
      </c>
      <c r="AC36" s="25" t="n">
        <f aca="false">IF(OR($C36="",$C36=0,$E36="",$B36="",$G36=-2),0,$C36*IF($G36=0,IF(IF($F36="",AC$4,MIN(AC$4,$F36))&lt;$E36,0,MAX(0,INT((IF($F36="",AC$4,MIN(AC$4,$F36))-$E36)/7)+1-MAX(0,ROUNDUP((AC$3-$E36)/7,0)))),IF($G36=101,(AND(EOMONTH(AC$3,0)&gt;=MAX(AC$3,$E36),EOMONTH(AC$3,0)&lt;=IF($F36="",AC$4,MIN(AC$4,$F36)))*1+AND(EOMONTH(AC$4,0)&lt;&gt;EOMONTH(AC$3,0),EOMONTH(AC$4,0)&gt;=MAX(AC$3,$E36),EOMONTH(AC$4,0)&lt;=IF($F36="",AC$4,MIN(AC$4,$F36)))*1),IF($G36=102,(AND(WORKDAY(EOMONTH(AC$3,0)+1,-3)&gt;=MAX(AC$3,$E36),WORKDAY(EOMONTH(AC$3,0)+1,-3)&lt;=IF($F36="",AC$4,MIN(AC$4,$F36)))*1+AND(WORKDAY(EOMONTH(AC$4,0)+1,-3)&lt;&gt;WORKDAY(EOMONTH(AC$3,0)+1,-3),WORKDAY(EOMONTH(AC$4,0)+1,-3)&gt;=MAX(AC$3,$E36),WORKDAY(EOMONTH(AC$4,0)+1,-3)&lt;=IF($F36="",AC$4,MIN(AC$4,$F36)))*1),IF(AND(IF(EDATE($E36,MAX(0,ROUNDUP(((YEAR(AC$3)-YEAR($E36))*12+MONTH(AC$3)-MONTH($E36))/$G36,0)*$G36))&lt;AC$3,EDATE($E36,MAX(0,ROUNDUP(((YEAR(AC$3)-YEAR($E36))*12+MONTH(AC$3)-MONTH($E36))/$G36,0)*$G36)+$G36),EDATE($E36,MAX(0,ROUNDUP(((YEAR(AC$3)-YEAR($E36))*12+MONTH(AC$3)-MONTH($E36))/$G36,0)*$G36)))&gt;=AC$3,IF(EDATE($E36,MAX(0,ROUNDUP(((YEAR(AC$3)-YEAR($E36))*12+MONTH(AC$3)-MONTH($E36))/$G36,0)*$G36))&lt;AC$3,EDATE($E36,MAX(0,ROUNDUP(((YEAR(AC$3)-YEAR($E36))*12+MONTH(AC$3)-MONTH($E36))/$G36,0)*$G36)+$G36),EDATE($E36,MAX(0,ROUNDUP(((YEAR(AC$3)-YEAR($E36))*12+MONTH(AC$3)-MONTH($E36))/$G36,0)*$G36)))&lt;=IF($F36="",AC$4,MIN(AC$4,$F36))),1,0)))))</f>
        <v>0</v>
      </c>
      <c r="AD36" s="25" t="n">
        <f aca="false">IF(OR($C36="",$C36=0,$E36="",$B36="",$G36=-2),0,$C36*IF($G36=0,IF(IF($F36="",AD$4,MIN(AD$4,$F36))&lt;$E36,0,MAX(0,INT((IF($F36="",AD$4,MIN(AD$4,$F36))-$E36)/7)+1-MAX(0,ROUNDUP((AD$3-$E36)/7,0)))),IF($G36=101,(AND(EOMONTH(AD$3,0)&gt;=MAX(AD$3,$E36),EOMONTH(AD$3,0)&lt;=IF($F36="",AD$4,MIN(AD$4,$F36)))*1+AND(EOMONTH(AD$4,0)&lt;&gt;EOMONTH(AD$3,0),EOMONTH(AD$4,0)&gt;=MAX(AD$3,$E36),EOMONTH(AD$4,0)&lt;=IF($F36="",AD$4,MIN(AD$4,$F36)))*1),IF($G36=102,(AND(WORKDAY(EOMONTH(AD$3,0)+1,-3)&gt;=MAX(AD$3,$E36),WORKDAY(EOMONTH(AD$3,0)+1,-3)&lt;=IF($F36="",AD$4,MIN(AD$4,$F36)))*1+AND(WORKDAY(EOMONTH(AD$4,0)+1,-3)&lt;&gt;WORKDAY(EOMONTH(AD$3,0)+1,-3),WORKDAY(EOMONTH(AD$4,0)+1,-3)&gt;=MAX(AD$3,$E36),WORKDAY(EOMONTH(AD$4,0)+1,-3)&lt;=IF($F36="",AD$4,MIN(AD$4,$F36)))*1),IF(AND(IF(EDATE($E36,MAX(0,ROUNDUP(((YEAR(AD$3)-YEAR($E36))*12+MONTH(AD$3)-MONTH($E36))/$G36,0)*$G36))&lt;AD$3,EDATE($E36,MAX(0,ROUNDUP(((YEAR(AD$3)-YEAR($E36))*12+MONTH(AD$3)-MONTH($E36))/$G36,0)*$G36)+$G36),EDATE($E36,MAX(0,ROUNDUP(((YEAR(AD$3)-YEAR($E36))*12+MONTH(AD$3)-MONTH($E36))/$G36,0)*$G36)))&gt;=AD$3,IF(EDATE($E36,MAX(0,ROUNDUP(((YEAR(AD$3)-YEAR($E36))*12+MONTH(AD$3)-MONTH($E36))/$G36,0)*$G36))&lt;AD$3,EDATE($E36,MAX(0,ROUNDUP(((YEAR(AD$3)-YEAR($E36))*12+MONTH(AD$3)-MONTH($E36))/$G36,0)*$G36)+$G36),EDATE($E36,MAX(0,ROUNDUP(((YEAR(AD$3)-YEAR($E36))*12+MONTH(AD$3)-MONTH($E36))/$G36,0)*$G36)))&lt;=IF($F36="",AD$4,MIN(AD$4,$F36))),1,0)))))</f>
        <v>0</v>
      </c>
      <c r="AE36" s="25" t="n">
        <f aca="false">IF(OR($C36="",$C36=0,$E36="",$B36="",$G36=-2),0,$C36*IF($G36=0,IF(IF($F36="",AE$4,MIN(AE$4,$F36))&lt;$E36,0,MAX(0,INT((IF($F36="",AE$4,MIN(AE$4,$F36))-$E36)/7)+1-MAX(0,ROUNDUP((AE$3-$E36)/7,0)))),IF($G36=101,(AND(EOMONTH(AE$3,0)&gt;=MAX(AE$3,$E36),EOMONTH(AE$3,0)&lt;=IF($F36="",AE$4,MIN(AE$4,$F36)))*1+AND(EOMONTH(AE$4,0)&lt;&gt;EOMONTH(AE$3,0),EOMONTH(AE$4,0)&gt;=MAX(AE$3,$E36),EOMONTH(AE$4,0)&lt;=IF($F36="",AE$4,MIN(AE$4,$F36)))*1),IF($G36=102,(AND(WORKDAY(EOMONTH(AE$3,0)+1,-3)&gt;=MAX(AE$3,$E36),WORKDAY(EOMONTH(AE$3,0)+1,-3)&lt;=IF($F36="",AE$4,MIN(AE$4,$F36)))*1+AND(WORKDAY(EOMONTH(AE$4,0)+1,-3)&lt;&gt;WORKDAY(EOMONTH(AE$3,0)+1,-3),WORKDAY(EOMONTH(AE$4,0)+1,-3)&gt;=MAX(AE$3,$E36),WORKDAY(EOMONTH(AE$4,0)+1,-3)&lt;=IF($F36="",AE$4,MIN(AE$4,$F36)))*1),IF(AND(IF(EDATE($E36,MAX(0,ROUNDUP(((YEAR(AE$3)-YEAR($E36))*12+MONTH(AE$3)-MONTH($E36))/$G36,0)*$G36))&lt;AE$3,EDATE($E36,MAX(0,ROUNDUP(((YEAR(AE$3)-YEAR($E36))*12+MONTH(AE$3)-MONTH($E36))/$G36,0)*$G36)+$G36),EDATE($E36,MAX(0,ROUNDUP(((YEAR(AE$3)-YEAR($E36))*12+MONTH(AE$3)-MONTH($E36))/$G36,0)*$G36)))&gt;=AE$3,IF(EDATE($E36,MAX(0,ROUNDUP(((YEAR(AE$3)-YEAR($E36))*12+MONTH(AE$3)-MONTH($E36))/$G36,0)*$G36))&lt;AE$3,EDATE($E36,MAX(0,ROUNDUP(((YEAR(AE$3)-YEAR($E36))*12+MONTH(AE$3)-MONTH($E36))/$G36,0)*$G36)+$G36),EDATE($E36,MAX(0,ROUNDUP(((YEAR(AE$3)-YEAR($E36))*12+MONTH(AE$3)-MONTH($E36))/$G36,0)*$G36)))&lt;=IF($F36="",AE$4,MIN(AE$4,$F36))),1,0)))))</f>
        <v>0</v>
      </c>
      <c r="AF36" s="25" t="n">
        <f aca="false">IF(OR($C36="",$C36=0,$E36="",$B36="",$G36=-2),0,$C36*IF($G36=0,IF(IF($F36="",AF$4,MIN(AF$4,$F36))&lt;$E36,0,MAX(0,INT((IF($F36="",AF$4,MIN(AF$4,$F36))-$E36)/7)+1-MAX(0,ROUNDUP((AF$3-$E36)/7,0)))),IF($G36=101,(AND(EOMONTH(AF$3,0)&gt;=MAX(AF$3,$E36),EOMONTH(AF$3,0)&lt;=IF($F36="",AF$4,MIN(AF$4,$F36)))*1+AND(EOMONTH(AF$4,0)&lt;&gt;EOMONTH(AF$3,0),EOMONTH(AF$4,0)&gt;=MAX(AF$3,$E36),EOMONTH(AF$4,0)&lt;=IF($F36="",AF$4,MIN(AF$4,$F36)))*1),IF($G36=102,(AND(WORKDAY(EOMONTH(AF$3,0)+1,-3)&gt;=MAX(AF$3,$E36),WORKDAY(EOMONTH(AF$3,0)+1,-3)&lt;=IF($F36="",AF$4,MIN(AF$4,$F36)))*1+AND(WORKDAY(EOMONTH(AF$4,0)+1,-3)&lt;&gt;WORKDAY(EOMONTH(AF$3,0)+1,-3),WORKDAY(EOMONTH(AF$4,0)+1,-3)&gt;=MAX(AF$3,$E36),WORKDAY(EOMONTH(AF$4,0)+1,-3)&lt;=IF($F36="",AF$4,MIN(AF$4,$F36)))*1),IF(AND(IF(EDATE($E36,MAX(0,ROUNDUP(((YEAR(AF$3)-YEAR($E36))*12+MONTH(AF$3)-MONTH($E36))/$G36,0)*$G36))&lt;AF$3,EDATE($E36,MAX(0,ROUNDUP(((YEAR(AF$3)-YEAR($E36))*12+MONTH(AF$3)-MONTH($E36))/$G36,0)*$G36)+$G36),EDATE($E36,MAX(0,ROUNDUP(((YEAR(AF$3)-YEAR($E36))*12+MONTH(AF$3)-MONTH($E36))/$G36,0)*$G36)))&gt;=AF$3,IF(EDATE($E36,MAX(0,ROUNDUP(((YEAR(AF$3)-YEAR($E36))*12+MONTH(AF$3)-MONTH($E36))/$G36,0)*$G36))&lt;AF$3,EDATE($E36,MAX(0,ROUNDUP(((YEAR(AF$3)-YEAR($E36))*12+MONTH(AF$3)-MONTH($E36))/$G36,0)*$G36)+$G36),EDATE($E36,MAX(0,ROUNDUP(((YEAR(AF$3)-YEAR($E36))*12+MONTH(AF$3)-MONTH($E36))/$G36,0)*$G36)))&lt;=IF($F36="",AF$4,MIN(AF$4,$F36))),1,0)))))</f>
        <v>0</v>
      </c>
    </row>
    <row r="37" customFormat="false" ht="15" hidden="false" customHeight="false" outlineLevel="0" collapsed="false">
      <c r="A37" s="5"/>
      <c r="B37" s="5"/>
      <c r="C37" s="8"/>
      <c r="D37" s="5"/>
      <c r="E37" s="7"/>
      <c r="F37" s="7"/>
      <c r="G37" s="24" t="n">
        <f aca="false">IFERROR(INDEX(Listen!$E$2:$E$8,MATCH(D37,Listen!$D$2:$D$8,0)),-2)</f>
        <v>-2</v>
      </c>
      <c r="H37" s="25" t="n">
        <f aca="false">IF(OR($C37="",$C37=0,$E37="",$B37="",$G37=-2),0,$C37*IF($G37=0,IF(IF($F37="",H$4,MIN(H$4,$F37))&lt;$E37,0,MAX(0,INT((IF($F37="",H$4,MIN(H$4,$F37))-$E37)/7)+1-MAX(0,ROUNDUP((H$3-$E37)/7,0)))),IF($G37=101,(AND(EOMONTH(H$3,0)&gt;=MAX(H$3,$E37),EOMONTH(H$3,0)&lt;=IF($F37="",H$4,MIN(H$4,$F37)))*1+AND(EOMONTH(H$4,0)&lt;&gt;EOMONTH(H$3,0),EOMONTH(H$4,0)&gt;=MAX(H$3,$E37),EOMONTH(H$4,0)&lt;=IF($F37="",H$4,MIN(H$4,$F37)))*1),IF($G37=102,(AND(WORKDAY(EOMONTH(H$3,0)+1,-3)&gt;=MAX(H$3,$E37),WORKDAY(EOMONTH(H$3,0)+1,-3)&lt;=IF($F37="",H$4,MIN(H$4,$F37)))*1+AND(WORKDAY(EOMONTH(H$4,0)+1,-3)&lt;&gt;WORKDAY(EOMONTH(H$3,0)+1,-3),WORKDAY(EOMONTH(H$4,0)+1,-3)&gt;=MAX(H$3,$E37),WORKDAY(EOMONTH(H$4,0)+1,-3)&lt;=IF($F37="",H$4,MIN(H$4,$F37)))*1),IF(AND(IF(EDATE($E37,MAX(0,ROUNDUP(((YEAR(H$3)-YEAR($E37))*12+MONTH(H$3)-MONTH($E37))/$G37,0)*$G37))&lt;H$3,EDATE($E37,MAX(0,ROUNDUP(((YEAR(H$3)-YEAR($E37))*12+MONTH(H$3)-MONTH($E37))/$G37,0)*$G37)+$G37),EDATE($E37,MAX(0,ROUNDUP(((YEAR(H$3)-YEAR($E37))*12+MONTH(H$3)-MONTH($E37))/$G37,0)*$G37)))&gt;=H$3,IF(EDATE($E37,MAX(0,ROUNDUP(((YEAR(H$3)-YEAR($E37))*12+MONTH(H$3)-MONTH($E37))/$G37,0)*$G37))&lt;H$3,EDATE($E37,MAX(0,ROUNDUP(((YEAR(H$3)-YEAR($E37))*12+MONTH(H$3)-MONTH($E37))/$G37,0)*$G37)+$G37),EDATE($E37,MAX(0,ROUNDUP(((YEAR(H$3)-YEAR($E37))*12+MONTH(H$3)-MONTH($E37))/$G37,0)*$G37)))&lt;=IF($F37="",H$4,MIN(H$4,$F37))),1,0)))))</f>
        <v>0</v>
      </c>
      <c r="I37" s="25" t="n">
        <f aca="false">IF(OR($C37="",$C37=0,$E37="",$B37="",$G37=-2),0,$C37*IF($G37=0,IF(IF($F37="",I$4,MIN(I$4,$F37))&lt;$E37,0,MAX(0,INT((IF($F37="",I$4,MIN(I$4,$F37))-$E37)/7)+1-MAX(0,ROUNDUP((I$3-$E37)/7,0)))),IF($G37=101,(AND(EOMONTH(I$3,0)&gt;=MAX(I$3,$E37),EOMONTH(I$3,0)&lt;=IF($F37="",I$4,MIN(I$4,$F37)))*1+AND(EOMONTH(I$4,0)&lt;&gt;EOMONTH(I$3,0),EOMONTH(I$4,0)&gt;=MAX(I$3,$E37),EOMONTH(I$4,0)&lt;=IF($F37="",I$4,MIN(I$4,$F37)))*1),IF($G37=102,(AND(WORKDAY(EOMONTH(I$3,0)+1,-3)&gt;=MAX(I$3,$E37),WORKDAY(EOMONTH(I$3,0)+1,-3)&lt;=IF($F37="",I$4,MIN(I$4,$F37)))*1+AND(WORKDAY(EOMONTH(I$4,0)+1,-3)&lt;&gt;WORKDAY(EOMONTH(I$3,0)+1,-3),WORKDAY(EOMONTH(I$4,0)+1,-3)&gt;=MAX(I$3,$E37),WORKDAY(EOMONTH(I$4,0)+1,-3)&lt;=IF($F37="",I$4,MIN(I$4,$F37)))*1),IF(AND(IF(EDATE($E37,MAX(0,ROUNDUP(((YEAR(I$3)-YEAR($E37))*12+MONTH(I$3)-MONTH($E37))/$G37,0)*$G37))&lt;I$3,EDATE($E37,MAX(0,ROUNDUP(((YEAR(I$3)-YEAR($E37))*12+MONTH(I$3)-MONTH($E37))/$G37,0)*$G37)+$G37),EDATE($E37,MAX(0,ROUNDUP(((YEAR(I$3)-YEAR($E37))*12+MONTH(I$3)-MONTH($E37))/$G37,0)*$G37)))&gt;=I$3,IF(EDATE($E37,MAX(0,ROUNDUP(((YEAR(I$3)-YEAR($E37))*12+MONTH(I$3)-MONTH($E37))/$G37,0)*$G37))&lt;I$3,EDATE($E37,MAX(0,ROUNDUP(((YEAR(I$3)-YEAR($E37))*12+MONTH(I$3)-MONTH($E37))/$G37,0)*$G37)+$G37),EDATE($E37,MAX(0,ROUNDUP(((YEAR(I$3)-YEAR($E37))*12+MONTH(I$3)-MONTH($E37))/$G37,0)*$G37)))&lt;=IF($F37="",I$4,MIN(I$4,$F37))),1,0)))))</f>
        <v>0</v>
      </c>
      <c r="J37" s="25" t="n">
        <f aca="false">IF(OR($C37="",$C37=0,$E37="",$B37="",$G37=-2),0,$C37*IF($G37=0,IF(IF($F37="",J$4,MIN(J$4,$F37))&lt;$E37,0,MAX(0,INT((IF($F37="",J$4,MIN(J$4,$F37))-$E37)/7)+1-MAX(0,ROUNDUP((J$3-$E37)/7,0)))),IF($G37=101,(AND(EOMONTH(J$3,0)&gt;=MAX(J$3,$E37),EOMONTH(J$3,0)&lt;=IF($F37="",J$4,MIN(J$4,$F37)))*1+AND(EOMONTH(J$4,0)&lt;&gt;EOMONTH(J$3,0),EOMONTH(J$4,0)&gt;=MAX(J$3,$E37),EOMONTH(J$4,0)&lt;=IF($F37="",J$4,MIN(J$4,$F37)))*1),IF($G37=102,(AND(WORKDAY(EOMONTH(J$3,0)+1,-3)&gt;=MAX(J$3,$E37),WORKDAY(EOMONTH(J$3,0)+1,-3)&lt;=IF($F37="",J$4,MIN(J$4,$F37)))*1+AND(WORKDAY(EOMONTH(J$4,0)+1,-3)&lt;&gt;WORKDAY(EOMONTH(J$3,0)+1,-3),WORKDAY(EOMONTH(J$4,0)+1,-3)&gt;=MAX(J$3,$E37),WORKDAY(EOMONTH(J$4,0)+1,-3)&lt;=IF($F37="",J$4,MIN(J$4,$F37)))*1),IF(AND(IF(EDATE($E37,MAX(0,ROUNDUP(((YEAR(J$3)-YEAR($E37))*12+MONTH(J$3)-MONTH($E37))/$G37,0)*$G37))&lt;J$3,EDATE($E37,MAX(0,ROUNDUP(((YEAR(J$3)-YEAR($E37))*12+MONTH(J$3)-MONTH($E37))/$G37,0)*$G37)+$G37),EDATE($E37,MAX(0,ROUNDUP(((YEAR(J$3)-YEAR($E37))*12+MONTH(J$3)-MONTH($E37))/$G37,0)*$G37)))&gt;=J$3,IF(EDATE($E37,MAX(0,ROUNDUP(((YEAR(J$3)-YEAR($E37))*12+MONTH(J$3)-MONTH($E37))/$G37,0)*$G37))&lt;J$3,EDATE($E37,MAX(0,ROUNDUP(((YEAR(J$3)-YEAR($E37))*12+MONTH(J$3)-MONTH($E37))/$G37,0)*$G37)+$G37),EDATE($E37,MAX(0,ROUNDUP(((YEAR(J$3)-YEAR($E37))*12+MONTH(J$3)-MONTH($E37))/$G37,0)*$G37)))&lt;=IF($F37="",J$4,MIN(J$4,$F37))),1,0)))))</f>
        <v>0</v>
      </c>
      <c r="K37" s="25" t="n">
        <f aca="false">IF(OR($C37="",$C37=0,$E37="",$B37="",$G37=-2),0,$C37*IF($G37=0,IF(IF($F37="",K$4,MIN(K$4,$F37))&lt;$E37,0,MAX(0,INT((IF($F37="",K$4,MIN(K$4,$F37))-$E37)/7)+1-MAX(0,ROUNDUP((K$3-$E37)/7,0)))),IF($G37=101,(AND(EOMONTH(K$3,0)&gt;=MAX(K$3,$E37),EOMONTH(K$3,0)&lt;=IF($F37="",K$4,MIN(K$4,$F37)))*1+AND(EOMONTH(K$4,0)&lt;&gt;EOMONTH(K$3,0),EOMONTH(K$4,0)&gt;=MAX(K$3,$E37),EOMONTH(K$4,0)&lt;=IF($F37="",K$4,MIN(K$4,$F37)))*1),IF($G37=102,(AND(WORKDAY(EOMONTH(K$3,0)+1,-3)&gt;=MAX(K$3,$E37),WORKDAY(EOMONTH(K$3,0)+1,-3)&lt;=IF($F37="",K$4,MIN(K$4,$F37)))*1+AND(WORKDAY(EOMONTH(K$4,0)+1,-3)&lt;&gt;WORKDAY(EOMONTH(K$3,0)+1,-3),WORKDAY(EOMONTH(K$4,0)+1,-3)&gt;=MAX(K$3,$E37),WORKDAY(EOMONTH(K$4,0)+1,-3)&lt;=IF($F37="",K$4,MIN(K$4,$F37)))*1),IF(AND(IF(EDATE($E37,MAX(0,ROUNDUP(((YEAR(K$3)-YEAR($E37))*12+MONTH(K$3)-MONTH($E37))/$G37,0)*$G37))&lt;K$3,EDATE($E37,MAX(0,ROUNDUP(((YEAR(K$3)-YEAR($E37))*12+MONTH(K$3)-MONTH($E37))/$G37,0)*$G37)+$G37),EDATE($E37,MAX(0,ROUNDUP(((YEAR(K$3)-YEAR($E37))*12+MONTH(K$3)-MONTH($E37))/$G37,0)*$G37)))&gt;=K$3,IF(EDATE($E37,MAX(0,ROUNDUP(((YEAR(K$3)-YEAR($E37))*12+MONTH(K$3)-MONTH($E37))/$G37,0)*$G37))&lt;K$3,EDATE($E37,MAX(0,ROUNDUP(((YEAR(K$3)-YEAR($E37))*12+MONTH(K$3)-MONTH($E37))/$G37,0)*$G37)+$G37),EDATE($E37,MAX(0,ROUNDUP(((YEAR(K$3)-YEAR($E37))*12+MONTH(K$3)-MONTH($E37))/$G37,0)*$G37)))&lt;=IF($F37="",K$4,MIN(K$4,$F37))),1,0)))))</f>
        <v>0</v>
      </c>
      <c r="L37" s="25" t="n">
        <f aca="false">IF(OR($C37="",$C37=0,$E37="",$B37="",$G37=-2),0,$C37*IF($G37=0,IF(IF($F37="",L$4,MIN(L$4,$F37))&lt;$E37,0,MAX(0,INT((IF($F37="",L$4,MIN(L$4,$F37))-$E37)/7)+1-MAX(0,ROUNDUP((L$3-$E37)/7,0)))),IF($G37=101,(AND(EOMONTH(L$3,0)&gt;=MAX(L$3,$E37),EOMONTH(L$3,0)&lt;=IF($F37="",L$4,MIN(L$4,$F37)))*1+AND(EOMONTH(L$4,0)&lt;&gt;EOMONTH(L$3,0),EOMONTH(L$4,0)&gt;=MAX(L$3,$E37),EOMONTH(L$4,0)&lt;=IF($F37="",L$4,MIN(L$4,$F37)))*1),IF($G37=102,(AND(WORKDAY(EOMONTH(L$3,0)+1,-3)&gt;=MAX(L$3,$E37),WORKDAY(EOMONTH(L$3,0)+1,-3)&lt;=IF($F37="",L$4,MIN(L$4,$F37)))*1+AND(WORKDAY(EOMONTH(L$4,0)+1,-3)&lt;&gt;WORKDAY(EOMONTH(L$3,0)+1,-3),WORKDAY(EOMONTH(L$4,0)+1,-3)&gt;=MAX(L$3,$E37),WORKDAY(EOMONTH(L$4,0)+1,-3)&lt;=IF($F37="",L$4,MIN(L$4,$F37)))*1),IF(AND(IF(EDATE($E37,MAX(0,ROUNDUP(((YEAR(L$3)-YEAR($E37))*12+MONTH(L$3)-MONTH($E37))/$G37,0)*$G37))&lt;L$3,EDATE($E37,MAX(0,ROUNDUP(((YEAR(L$3)-YEAR($E37))*12+MONTH(L$3)-MONTH($E37))/$G37,0)*$G37)+$G37),EDATE($E37,MAX(0,ROUNDUP(((YEAR(L$3)-YEAR($E37))*12+MONTH(L$3)-MONTH($E37))/$G37,0)*$G37)))&gt;=L$3,IF(EDATE($E37,MAX(0,ROUNDUP(((YEAR(L$3)-YEAR($E37))*12+MONTH(L$3)-MONTH($E37))/$G37,0)*$G37))&lt;L$3,EDATE($E37,MAX(0,ROUNDUP(((YEAR(L$3)-YEAR($E37))*12+MONTH(L$3)-MONTH($E37))/$G37,0)*$G37)+$G37),EDATE($E37,MAX(0,ROUNDUP(((YEAR(L$3)-YEAR($E37))*12+MONTH(L$3)-MONTH($E37))/$G37,0)*$G37)))&lt;=IF($F37="",L$4,MIN(L$4,$F37))),1,0)))))</f>
        <v>0</v>
      </c>
      <c r="M37" s="25" t="n">
        <f aca="false">IF(OR($C37="",$C37=0,$E37="",$B37="",$G37=-2),0,$C37*IF($G37=0,IF(IF($F37="",M$4,MIN(M$4,$F37))&lt;$E37,0,MAX(0,INT((IF($F37="",M$4,MIN(M$4,$F37))-$E37)/7)+1-MAX(0,ROUNDUP((M$3-$E37)/7,0)))),IF($G37=101,(AND(EOMONTH(M$3,0)&gt;=MAX(M$3,$E37),EOMONTH(M$3,0)&lt;=IF($F37="",M$4,MIN(M$4,$F37)))*1+AND(EOMONTH(M$4,0)&lt;&gt;EOMONTH(M$3,0),EOMONTH(M$4,0)&gt;=MAX(M$3,$E37),EOMONTH(M$4,0)&lt;=IF($F37="",M$4,MIN(M$4,$F37)))*1),IF($G37=102,(AND(WORKDAY(EOMONTH(M$3,0)+1,-3)&gt;=MAX(M$3,$E37),WORKDAY(EOMONTH(M$3,0)+1,-3)&lt;=IF($F37="",M$4,MIN(M$4,$F37)))*1+AND(WORKDAY(EOMONTH(M$4,0)+1,-3)&lt;&gt;WORKDAY(EOMONTH(M$3,0)+1,-3),WORKDAY(EOMONTH(M$4,0)+1,-3)&gt;=MAX(M$3,$E37),WORKDAY(EOMONTH(M$4,0)+1,-3)&lt;=IF($F37="",M$4,MIN(M$4,$F37)))*1),IF(AND(IF(EDATE($E37,MAX(0,ROUNDUP(((YEAR(M$3)-YEAR($E37))*12+MONTH(M$3)-MONTH($E37))/$G37,0)*$G37))&lt;M$3,EDATE($E37,MAX(0,ROUNDUP(((YEAR(M$3)-YEAR($E37))*12+MONTH(M$3)-MONTH($E37))/$G37,0)*$G37)+$G37),EDATE($E37,MAX(0,ROUNDUP(((YEAR(M$3)-YEAR($E37))*12+MONTH(M$3)-MONTH($E37))/$G37,0)*$G37)))&gt;=M$3,IF(EDATE($E37,MAX(0,ROUNDUP(((YEAR(M$3)-YEAR($E37))*12+MONTH(M$3)-MONTH($E37))/$G37,0)*$G37))&lt;M$3,EDATE($E37,MAX(0,ROUNDUP(((YEAR(M$3)-YEAR($E37))*12+MONTH(M$3)-MONTH($E37))/$G37,0)*$G37)+$G37),EDATE($E37,MAX(0,ROUNDUP(((YEAR(M$3)-YEAR($E37))*12+MONTH(M$3)-MONTH($E37))/$G37,0)*$G37)))&lt;=IF($F37="",M$4,MIN(M$4,$F37))),1,0)))))</f>
        <v>0</v>
      </c>
      <c r="N37" s="25" t="n">
        <f aca="false">IF(OR($C37="",$C37=0,$E37="",$B37="",$G37=-2),0,$C37*IF($G37=0,IF(IF($F37="",N$4,MIN(N$4,$F37))&lt;$E37,0,MAX(0,INT((IF($F37="",N$4,MIN(N$4,$F37))-$E37)/7)+1-MAX(0,ROUNDUP((N$3-$E37)/7,0)))),IF($G37=101,(AND(EOMONTH(N$3,0)&gt;=MAX(N$3,$E37),EOMONTH(N$3,0)&lt;=IF($F37="",N$4,MIN(N$4,$F37)))*1+AND(EOMONTH(N$4,0)&lt;&gt;EOMONTH(N$3,0),EOMONTH(N$4,0)&gt;=MAX(N$3,$E37),EOMONTH(N$4,0)&lt;=IF($F37="",N$4,MIN(N$4,$F37)))*1),IF($G37=102,(AND(WORKDAY(EOMONTH(N$3,0)+1,-3)&gt;=MAX(N$3,$E37),WORKDAY(EOMONTH(N$3,0)+1,-3)&lt;=IF($F37="",N$4,MIN(N$4,$F37)))*1+AND(WORKDAY(EOMONTH(N$4,0)+1,-3)&lt;&gt;WORKDAY(EOMONTH(N$3,0)+1,-3),WORKDAY(EOMONTH(N$4,0)+1,-3)&gt;=MAX(N$3,$E37),WORKDAY(EOMONTH(N$4,0)+1,-3)&lt;=IF($F37="",N$4,MIN(N$4,$F37)))*1),IF(AND(IF(EDATE($E37,MAX(0,ROUNDUP(((YEAR(N$3)-YEAR($E37))*12+MONTH(N$3)-MONTH($E37))/$G37,0)*$G37))&lt;N$3,EDATE($E37,MAX(0,ROUNDUP(((YEAR(N$3)-YEAR($E37))*12+MONTH(N$3)-MONTH($E37))/$G37,0)*$G37)+$G37),EDATE($E37,MAX(0,ROUNDUP(((YEAR(N$3)-YEAR($E37))*12+MONTH(N$3)-MONTH($E37))/$G37,0)*$G37)))&gt;=N$3,IF(EDATE($E37,MAX(0,ROUNDUP(((YEAR(N$3)-YEAR($E37))*12+MONTH(N$3)-MONTH($E37))/$G37,0)*$G37))&lt;N$3,EDATE($E37,MAX(0,ROUNDUP(((YEAR(N$3)-YEAR($E37))*12+MONTH(N$3)-MONTH($E37))/$G37,0)*$G37)+$G37),EDATE($E37,MAX(0,ROUNDUP(((YEAR(N$3)-YEAR($E37))*12+MONTH(N$3)-MONTH($E37))/$G37,0)*$G37)))&lt;=IF($F37="",N$4,MIN(N$4,$F37))),1,0)))))</f>
        <v>0</v>
      </c>
      <c r="O37" s="25" t="n">
        <f aca="false">IF(OR($C37="",$C37=0,$E37="",$B37="",$G37=-2),0,$C37*IF($G37=0,IF(IF($F37="",O$4,MIN(O$4,$F37))&lt;$E37,0,MAX(0,INT((IF($F37="",O$4,MIN(O$4,$F37))-$E37)/7)+1-MAX(0,ROUNDUP((O$3-$E37)/7,0)))),IF($G37=101,(AND(EOMONTH(O$3,0)&gt;=MAX(O$3,$E37),EOMONTH(O$3,0)&lt;=IF($F37="",O$4,MIN(O$4,$F37)))*1+AND(EOMONTH(O$4,0)&lt;&gt;EOMONTH(O$3,0),EOMONTH(O$4,0)&gt;=MAX(O$3,$E37),EOMONTH(O$4,0)&lt;=IF($F37="",O$4,MIN(O$4,$F37)))*1),IF($G37=102,(AND(WORKDAY(EOMONTH(O$3,0)+1,-3)&gt;=MAX(O$3,$E37),WORKDAY(EOMONTH(O$3,0)+1,-3)&lt;=IF($F37="",O$4,MIN(O$4,$F37)))*1+AND(WORKDAY(EOMONTH(O$4,0)+1,-3)&lt;&gt;WORKDAY(EOMONTH(O$3,0)+1,-3),WORKDAY(EOMONTH(O$4,0)+1,-3)&gt;=MAX(O$3,$E37),WORKDAY(EOMONTH(O$4,0)+1,-3)&lt;=IF($F37="",O$4,MIN(O$4,$F37)))*1),IF(AND(IF(EDATE($E37,MAX(0,ROUNDUP(((YEAR(O$3)-YEAR($E37))*12+MONTH(O$3)-MONTH($E37))/$G37,0)*$G37))&lt;O$3,EDATE($E37,MAX(0,ROUNDUP(((YEAR(O$3)-YEAR($E37))*12+MONTH(O$3)-MONTH($E37))/$G37,0)*$G37)+$G37),EDATE($E37,MAX(0,ROUNDUP(((YEAR(O$3)-YEAR($E37))*12+MONTH(O$3)-MONTH($E37))/$G37,0)*$G37)))&gt;=O$3,IF(EDATE($E37,MAX(0,ROUNDUP(((YEAR(O$3)-YEAR($E37))*12+MONTH(O$3)-MONTH($E37))/$G37,0)*$G37))&lt;O$3,EDATE($E37,MAX(0,ROUNDUP(((YEAR(O$3)-YEAR($E37))*12+MONTH(O$3)-MONTH($E37))/$G37,0)*$G37)+$G37),EDATE($E37,MAX(0,ROUNDUP(((YEAR(O$3)-YEAR($E37))*12+MONTH(O$3)-MONTH($E37))/$G37,0)*$G37)))&lt;=IF($F37="",O$4,MIN(O$4,$F37))),1,0)))))</f>
        <v>0</v>
      </c>
      <c r="P37" s="25" t="n">
        <f aca="false">IF(OR($C37="",$C37=0,$E37="",$B37="",$G37=-2),0,$C37*IF($G37=0,IF(IF($F37="",P$4,MIN(P$4,$F37))&lt;$E37,0,MAX(0,INT((IF($F37="",P$4,MIN(P$4,$F37))-$E37)/7)+1-MAX(0,ROUNDUP((P$3-$E37)/7,0)))),IF($G37=101,(AND(EOMONTH(P$3,0)&gt;=MAX(P$3,$E37),EOMONTH(P$3,0)&lt;=IF($F37="",P$4,MIN(P$4,$F37)))*1+AND(EOMONTH(P$4,0)&lt;&gt;EOMONTH(P$3,0),EOMONTH(P$4,0)&gt;=MAX(P$3,$E37),EOMONTH(P$4,0)&lt;=IF($F37="",P$4,MIN(P$4,$F37)))*1),IF($G37=102,(AND(WORKDAY(EOMONTH(P$3,0)+1,-3)&gt;=MAX(P$3,$E37),WORKDAY(EOMONTH(P$3,0)+1,-3)&lt;=IF($F37="",P$4,MIN(P$4,$F37)))*1+AND(WORKDAY(EOMONTH(P$4,0)+1,-3)&lt;&gt;WORKDAY(EOMONTH(P$3,0)+1,-3),WORKDAY(EOMONTH(P$4,0)+1,-3)&gt;=MAX(P$3,$E37),WORKDAY(EOMONTH(P$4,0)+1,-3)&lt;=IF($F37="",P$4,MIN(P$4,$F37)))*1),IF(AND(IF(EDATE($E37,MAX(0,ROUNDUP(((YEAR(P$3)-YEAR($E37))*12+MONTH(P$3)-MONTH($E37))/$G37,0)*$G37))&lt;P$3,EDATE($E37,MAX(0,ROUNDUP(((YEAR(P$3)-YEAR($E37))*12+MONTH(P$3)-MONTH($E37))/$G37,0)*$G37)+$G37),EDATE($E37,MAX(0,ROUNDUP(((YEAR(P$3)-YEAR($E37))*12+MONTH(P$3)-MONTH($E37))/$G37,0)*$G37)))&gt;=P$3,IF(EDATE($E37,MAX(0,ROUNDUP(((YEAR(P$3)-YEAR($E37))*12+MONTH(P$3)-MONTH($E37))/$G37,0)*$G37))&lt;P$3,EDATE($E37,MAX(0,ROUNDUP(((YEAR(P$3)-YEAR($E37))*12+MONTH(P$3)-MONTH($E37))/$G37,0)*$G37)+$G37),EDATE($E37,MAX(0,ROUNDUP(((YEAR(P$3)-YEAR($E37))*12+MONTH(P$3)-MONTH($E37))/$G37,0)*$G37)))&lt;=IF($F37="",P$4,MIN(P$4,$F37))),1,0)))))</f>
        <v>0</v>
      </c>
      <c r="Q37" s="25" t="n">
        <f aca="false">IF(OR($C37="",$C37=0,$E37="",$B37="",$G37=-2),0,$C37*IF($G37=0,IF(IF($F37="",Q$4,MIN(Q$4,$F37))&lt;$E37,0,MAX(0,INT((IF($F37="",Q$4,MIN(Q$4,$F37))-$E37)/7)+1-MAX(0,ROUNDUP((Q$3-$E37)/7,0)))),IF($G37=101,(AND(EOMONTH(Q$3,0)&gt;=MAX(Q$3,$E37),EOMONTH(Q$3,0)&lt;=IF($F37="",Q$4,MIN(Q$4,$F37)))*1+AND(EOMONTH(Q$4,0)&lt;&gt;EOMONTH(Q$3,0),EOMONTH(Q$4,0)&gt;=MAX(Q$3,$E37),EOMONTH(Q$4,0)&lt;=IF($F37="",Q$4,MIN(Q$4,$F37)))*1),IF($G37=102,(AND(WORKDAY(EOMONTH(Q$3,0)+1,-3)&gt;=MAX(Q$3,$E37),WORKDAY(EOMONTH(Q$3,0)+1,-3)&lt;=IF($F37="",Q$4,MIN(Q$4,$F37)))*1+AND(WORKDAY(EOMONTH(Q$4,0)+1,-3)&lt;&gt;WORKDAY(EOMONTH(Q$3,0)+1,-3),WORKDAY(EOMONTH(Q$4,0)+1,-3)&gt;=MAX(Q$3,$E37),WORKDAY(EOMONTH(Q$4,0)+1,-3)&lt;=IF($F37="",Q$4,MIN(Q$4,$F37)))*1),IF(AND(IF(EDATE($E37,MAX(0,ROUNDUP(((YEAR(Q$3)-YEAR($E37))*12+MONTH(Q$3)-MONTH($E37))/$G37,0)*$G37))&lt;Q$3,EDATE($E37,MAX(0,ROUNDUP(((YEAR(Q$3)-YEAR($E37))*12+MONTH(Q$3)-MONTH($E37))/$G37,0)*$G37)+$G37),EDATE($E37,MAX(0,ROUNDUP(((YEAR(Q$3)-YEAR($E37))*12+MONTH(Q$3)-MONTH($E37))/$G37,0)*$G37)))&gt;=Q$3,IF(EDATE($E37,MAX(0,ROUNDUP(((YEAR(Q$3)-YEAR($E37))*12+MONTH(Q$3)-MONTH($E37))/$G37,0)*$G37))&lt;Q$3,EDATE($E37,MAX(0,ROUNDUP(((YEAR(Q$3)-YEAR($E37))*12+MONTH(Q$3)-MONTH($E37))/$G37,0)*$G37)+$G37),EDATE($E37,MAX(0,ROUNDUP(((YEAR(Q$3)-YEAR($E37))*12+MONTH(Q$3)-MONTH($E37))/$G37,0)*$G37)))&lt;=IF($F37="",Q$4,MIN(Q$4,$F37))),1,0)))))</f>
        <v>0</v>
      </c>
      <c r="R37" s="25" t="n">
        <f aca="false">IF(OR($C37="",$C37=0,$E37="",$B37="",$G37=-2),0,$C37*IF($G37=0,IF(IF($F37="",R$4,MIN(R$4,$F37))&lt;$E37,0,MAX(0,INT((IF($F37="",R$4,MIN(R$4,$F37))-$E37)/7)+1-MAX(0,ROUNDUP((R$3-$E37)/7,0)))),IF($G37=101,(AND(EOMONTH(R$3,0)&gt;=MAX(R$3,$E37),EOMONTH(R$3,0)&lt;=IF($F37="",R$4,MIN(R$4,$F37)))*1+AND(EOMONTH(R$4,0)&lt;&gt;EOMONTH(R$3,0),EOMONTH(R$4,0)&gt;=MAX(R$3,$E37),EOMONTH(R$4,0)&lt;=IF($F37="",R$4,MIN(R$4,$F37)))*1),IF($G37=102,(AND(WORKDAY(EOMONTH(R$3,0)+1,-3)&gt;=MAX(R$3,$E37),WORKDAY(EOMONTH(R$3,0)+1,-3)&lt;=IF($F37="",R$4,MIN(R$4,$F37)))*1+AND(WORKDAY(EOMONTH(R$4,0)+1,-3)&lt;&gt;WORKDAY(EOMONTH(R$3,0)+1,-3),WORKDAY(EOMONTH(R$4,0)+1,-3)&gt;=MAX(R$3,$E37),WORKDAY(EOMONTH(R$4,0)+1,-3)&lt;=IF($F37="",R$4,MIN(R$4,$F37)))*1),IF(AND(IF(EDATE($E37,MAX(0,ROUNDUP(((YEAR(R$3)-YEAR($E37))*12+MONTH(R$3)-MONTH($E37))/$G37,0)*$G37))&lt;R$3,EDATE($E37,MAX(0,ROUNDUP(((YEAR(R$3)-YEAR($E37))*12+MONTH(R$3)-MONTH($E37))/$G37,0)*$G37)+$G37),EDATE($E37,MAX(0,ROUNDUP(((YEAR(R$3)-YEAR($E37))*12+MONTH(R$3)-MONTH($E37))/$G37,0)*$G37)))&gt;=R$3,IF(EDATE($E37,MAX(0,ROUNDUP(((YEAR(R$3)-YEAR($E37))*12+MONTH(R$3)-MONTH($E37))/$G37,0)*$G37))&lt;R$3,EDATE($E37,MAX(0,ROUNDUP(((YEAR(R$3)-YEAR($E37))*12+MONTH(R$3)-MONTH($E37))/$G37,0)*$G37)+$G37),EDATE($E37,MAX(0,ROUNDUP(((YEAR(R$3)-YEAR($E37))*12+MONTH(R$3)-MONTH($E37))/$G37,0)*$G37)))&lt;=IF($F37="",R$4,MIN(R$4,$F37))),1,0)))))</f>
        <v>0</v>
      </c>
      <c r="S37" s="25" t="n">
        <f aca="false">IF(OR($C37="",$C37=0,$E37="",$B37="",$G37=-2),0,$C37*IF($G37=0,IF(IF($F37="",S$4,MIN(S$4,$F37))&lt;$E37,0,MAX(0,INT((IF($F37="",S$4,MIN(S$4,$F37))-$E37)/7)+1-MAX(0,ROUNDUP((S$3-$E37)/7,0)))),IF($G37=101,(AND(EOMONTH(S$3,0)&gt;=MAX(S$3,$E37),EOMONTH(S$3,0)&lt;=IF($F37="",S$4,MIN(S$4,$F37)))*1+AND(EOMONTH(S$4,0)&lt;&gt;EOMONTH(S$3,0),EOMONTH(S$4,0)&gt;=MAX(S$3,$E37),EOMONTH(S$4,0)&lt;=IF($F37="",S$4,MIN(S$4,$F37)))*1),IF($G37=102,(AND(WORKDAY(EOMONTH(S$3,0)+1,-3)&gt;=MAX(S$3,$E37),WORKDAY(EOMONTH(S$3,0)+1,-3)&lt;=IF($F37="",S$4,MIN(S$4,$F37)))*1+AND(WORKDAY(EOMONTH(S$4,0)+1,-3)&lt;&gt;WORKDAY(EOMONTH(S$3,0)+1,-3),WORKDAY(EOMONTH(S$4,0)+1,-3)&gt;=MAX(S$3,$E37),WORKDAY(EOMONTH(S$4,0)+1,-3)&lt;=IF($F37="",S$4,MIN(S$4,$F37)))*1),IF(AND(IF(EDATE($E37,MAX(0,ROUNDUP(((YEAR(S$3)-YEAR($E37))*12+MONTH(S$3)-MONTH($E37))/$G37,0)*$G37))&lt;S$3,EDATE($E37,MAX(0,ROUNDUP(((YEAR(S$3)-YEAR($E37))*12+MONTH(S$3)-MONTH($E37))/$G37,0)*$G37)+$G37),EDATE($E37,MAX(0,ROUNDUP(((YEAR(S$3)-YEAR($E37))*12+MONTH(S$3)-MONTH($E37))/$G37,0)*$G37)))&gt;=S$3,IF(EDATE($E37,MAX(0,ROUNDUP(((YEAR(S$3)-YEAR($E37))*12+MONTH(S$3)-MONTH($E37))/$G37,0)*$G37))&lt;S$3,EDATE($E37,MAX(0,ROUNDUP(((YEAR(S$3)-YEAR($E37))*12+MONTH(S$3)-MONTH($E37))/$G37,0)*$G37)+$G37),EDATE($E37,MAX(0,ROUNDUP(((YEAR(S$3)-YEAR($E37))*12+MONTH(S$3)-MONTH($E37))/$G37,0)*$G37)))&lt;=IF($F37="",S$4,MIN(S$4,$F37))),1,0)))))</f>
        <v>0</v>
      </c>
      <c r="T37" s="25" t="n">
        <f aca="false">IF(OR($C37="",$C37=0,$E37="",$B37="",$G37=-2),0,$C37*IF($G37=0,IF(IF($F37="",T$4,MIN(T$4,$F37))&lt;$E37,0,MAX(0,INT((IF($F37="",T$4,MIN(T$4,$F37))-$E37)/7)+1-MAX(0,ROUNDUP((T$3-$E37)/7,0)))),IF($G37=101,(AND(EOMONTH(T$3,0)&gt;=MAX(T$3,$E37),EOMONTH(T$3,0)&lt;=IF($F37="",T$4,MIN(T$4,$F37)))*1+AND(EOMONTH(T$4,0)&lt;&gt;EOMONTH(T$3,0),EOMONTH(T$4,0)&gt;=MAX(T$3,$E37),EOMONTH(T$4,0)&lt;=IF($F37="",T$4,MIN(T$4,$F37)))*1),IF($G37=102,(AND(WORKDAY(EOMONTH(T$3,0)+1,-3)&gt;=MAX(T$3,$E37),WORKDAY(EOMONTH(T$3,0)+1,-3)&lt;=IF($F37="",T$4,MIN(T$4,$F37)))*1+AND(WORKDAY(EOMONTH(T$4,0)+1,-3)&lt;&gt;WORKDAY(EOMONTH(T$3,0)+1,-3),WORKDAY(EOMONTH(T$4,0)+1,-3)&gt;=MAX(T$3,$E37),WORKDAY(EOMONTH(T$4,0)+1,-3)&lt;=IF($F37="",T$4,MIN(T$4,$F37)))*1),IF(AND(IF(EDATE($E37,MAX(0,ROUNDUP(((YEAR(T$3)-YEAR($E37))*12+MONTH(T$3)-MONTH($E37))/$G37,0)*$G37))&lt;T$3,EDATE($E37,MAX(0,ROUNDUP(((YEAR(T$3)-YEAR($E37))*12+MONTH(T$3)-MONTH($E37))/$G37,0)*$G37)+$G37),EDATE($E37,MAX(0,ROUNDUP(((YEAR(T$3)-YEAR($E37))*12+MONTH(T$3)-MONTH($E37))/$G37,0)*$G37)))&gt;=T$3,IF(EDATE($E37,MAX(0,ROUNDUP(((YEAR(T$3)-YEAR($E37))*12+MONTH(T$3)-MONTH($E37))/$G37,0)*$G37))&lt;T$3,EDATE($E37,MAX(0,ROUNDUP(((YEAR(T$3)-YEAR($E37))*12+MONTH(T$3)-MONTH($E37))/$G37,0)*$G37)+$G37),EDATE($E37,MAX(0,ROUNDUP(((YEAR(T$3)-YEAR($E37))*12+MONTH(T$3)-MONTH($E37))/$G37,0)*$G37)))&lt;=IF($F37="",T$4,MIN(T$4,$F37))),1,0)))))</f>
        <v>0</v>
      </c>
      <c r="U37" s="25" t="n">
        <f aca="false">IF(OR($C37="",$C37=0,$E37="",$B37="",$G37=-2),0,$C37*IF($G37=0,IF(IF($F37="",U$4,MIN(U$4,$F37))&lt;$E37,0,MAX(0,INT((IF($F37="",U$4,MIN(U$4,$F37))-$E37)/7)+1-MAX(0,ROUNDUP((U$3-$E37)/7,0)))),IF($G37=101,(AND(EOMONTH(U$3,0)&gt;=MAX(U$3,$E37),EOMONTH(U$3,0)&lt;=IF($F37="",U$4,MIN(U$4,$F37)))*1+AND(EOMONTH(U$4,0)&lt;&gt;EOMONTH(U$3,0),EOMONTH(U$4,0)&gt;=MAX(U$3,$E37),EOMONTH(U$4,0)&lt;=IF($F37="",U$4,MIN(U$4,$F37)))*1),IF($G37=102,(AND(WORKDAY(EOMONTH(U$3,0)+1,-3)&gt;=MAX(U$3,$E37),WORKDAY(EOMONTH(U$3,0)+1,-3)&lt;=IF($F37="",U$4,MIN(U$4,$F37)))*1+AND(WORKDAY(EOMONTH(U$4,0)+1,-3)&lt;&gt;WORKDAY(EOMONTH(U$3,0)+1,-3),WORKDAY(EOMONTH(U$4,0)+1,-3)&gt;=MAX(U$3,$E37),WORKDAY(EOMONTH(U$4,0)+1,-3)&lt;=IF($F37="",U$4,MIN(U$4,$F37)))*1),IF(AND(IF(EDATE($E37,MAX(0,ROUNDUP(((YEAR(U$3)-YEAR($E37))*12+MONTH(U$3)-MONTH($E37))/$G37,0)*$G37))&lt;U$3,EDATE($E37,MAX(0,ROUNDUP(((YEAR(U$3)-YEAR($E37))*12+MONTH(U$3)-MONTH($E37))/$G37,0)*$G37)+$G37),EDATE($E37,MAX(0,ROUNDUP(((YEAR(U$3)-YEAR($E37))*12+MONTH(U$3)-MONTH($E37))/$G37,0)*$G37)))&gt;=U$3,IF(EDATE($E37,MAX(0,ROUNDUP(((YEAR(U$3)-YEAR($E37))*12+MONTH(U$3)-MONTH($E37))/$G37,0)*$G37))&lt;U$3,EDATE($E37,MAX(0,ROUNDUP(((YEAR(U$3)-YEAR($E37))*12+MONTH(U$3)-MONTH($E37))/$G37,0)*$G37)+$G37),EDATE($E37,MAX(0,ROUNDUP(((YEAR(U$3)-YEAR($E37))*12+MONTH(U$3)-MONTH($E37))/$G37,0)*$G37)))&lt;=IF($F37="",U$4,MIN(U$4,$F37))),1,0)))))</f>
        <v>0</v>
      </c>
      <c r="V37" s="25" t="n">
        <f aca="false">IF(OR($C37="",$C37=0,$E37="",$B37="",$G37=-2),0,$C37*IF($G37=0,IF(IF($F37="",V$4,MIN(V$4,$F37))&lt;$E37,0,MAX(0,INT((IF($F37="",V$4,MIN(V$4,$F37))-$E37)/7)+1-MAX(0,ROUNDUP((V$3-$E37)/7,0)))),IF($G37=101,(AND(EOMONTH(V$3,0)&gt;=MAX(V$3,$E37),EOMONTH(V$3,0)&lt;=IF($F37="",V$4,MIN(V$4,$F37)))*1+AND(EOMONTH(V$4,0)&lt;&gt;EOMONTH(V$3,0),EOMONTH(V$4,0)&gt;=MAX(V$3,$E37),EOMONTH(V$4,0)&lt;=IF($F37="",V$4,MIN(V$4,$F37)))*1),IF($G37=102,(AND(WORKDAY(EOMONTH(V$3,0)+1,-3)&gt;=MAX(V$3,$E37),WORKDAY(EOMONTH(V$3,0)+1,-3)&lt;=IF($F37="",V$4,MIN(V$4,$F37)))*1+AND(WORKDAY(EOMONTH(V$4,0)+1,-3)&lt;&gt;WORKDAY(EOMONTH(V$3,0)+1,-3),WORKDAY(EOMONTH(V$4,0)+1,-3)&gt;=MAX(V$3,$E37),WORKDAY(EOMONTH(V$4,0)+1,-3)&lt;=IF($F37="",V$4,MIN(V$4,$F37)))*1),IF(AND(IF(EDATE($E37,MAX(0,ROUNDUP(((YEAR(V$3)-YEAR($E37))*12+MONTH(V$3)-MONTH($E37))/$G37,0)*$G37))&lt;V$3,EDATE($E37,MAX(0,ROUNDUP(((YEAR(V$3)-YEAR($E37))*12+MONTH(V$3)-MONTH($E37))/$G37,0)*$G37)+$G37),EDATE($E37,MAX(0,ROUNDUP(((YEAR(V$3)-YEAR($E37))*12+MONTH(V$3)-MONTH($E37))/$G37,0)*$G37)))&gt;=V$3,IF(EDATE($E37,MAX(0,ROUNDUP(((YEAR(V$3)-YEAR($E37))*12+MONTH(V$3)-MONTH($E37))/$G37,0)*$G37))&lt;V$3,EDATE($E37,MAX(0,ROUNDUP(((YEAR(V$3)-YEAR($E37))*12+MONTH(V$3)-MONTH($E37))/$G37,0)*$G37)+$G37),EDATE($E37,MAX(0,ROUNDUP(((YEAR(V$3)-YEAR($E37))*12+MONTH(V$3)-MONTH($E37))/$G37,0)*$G37)))&lt;=IF($F37="",V$4,MIN(V$4,$F37))),1,0)))))</f>
        <v>0</v>
      </c>
      <c r="W37" s="25" t="n">
        <f aca="false">IF(OR($C37="",$C37=0,$E37="",$B37="",$G37=-2),0,$C37*IF($G37=0,IF(IF($F37="",W$4,MIN(W$4,$F37))&lt;$E37,0,MAX(0,INT((IF($F37="",W$4,MIN(W$4,$F37))-$E37)/7)+1-MAX(0,ROUNDUP((W$3-$E37)/7,0)))),IF($G37=101,(AND(EOMONTH(W$3,0)&gt;=MAX(W$3,$E37),EOMONTH(W$3,0)&lt;=IF($F37="",W$4,MIN(W$4,$F37)))*1+AND(EOMONTH(W$4,0)&lt;&gt;EOMONTH(W$3,0),EOMONTH(W$4,0)&gt;=MAX(W$3,$E37),EOMONTH(W$4,0)&lt;=IF($F37="",W$4,MIN(W$4,$F37)))*1),IF($G37=102,(AND(WORKDAY(EOMONTH(W$3,0)+1,-3)&gt;=MAX(W$3,$E37),WORKDAY(EOMONTH(W$3,0)+1,-3)&lt;=IF($F37="",W$4,MIN(W$4,$F37)))*1+AND(WORKDAY(EOMONTH(W$4,0)+1,-3)&lt;&gt;WORKDAY(EOMONTH(W$3,0)+1,-3),WORKDAY(EOMONTH(W$4,0)+1,-3)&gt;=MAX(W$3,$E37),WORKDAY(EOMONTH(W$4,0)+1,-3)&lt;=IF($F37="",W$4,MIN(W$4,$F37)))*1),IF(AND(IF(EDATE($E37,MAX(0,ROUNDUP(((YEAR(W$3)-YEAR($E37))*12+MONTH(W$3)-MONTH($E37))/$G37,0)*$G37))&lt;W$3,EDATE($E37,MAX(0,ROUNDUP(((YEAR(W$3)-YEAR($E37))*12+MONTH(W$3)-MONTH($E37))/$G37,0)*$G37)+$G37),EDATE($E37,MAX(0,ROUNDUP(((YEAR(W$3)-YEAR($E37))*12+MONTH(W$3)-MONTH($E37))/$G37,0)*$G37)))&gt;=W$3,IF(EDATE($E37,MAX(0,ROUNDUP(((YEAR(W$3)-YEAR($E37))*12+MONTH(W$3)-MONTH($E37))/$G37,0)*$G37))&lt;W$3,EDATE($E37,MAX(0,ROUNDUP(((YEAR(W$3)-YEAR($E37))*12+MONTH(W$3)-MONTH($E37))/$G37,0)*$G37)+$G37),EDATE($E37,MAX(0,ROUNDUP(((YEAR(W$3)-YEAR($E37))*12+MONTH(W$3)-MONTH($E37))/$G37,0)*$G37)))&lt;=IF($F37="",W$4,MIN(W$4,$F37))),1,0)))))</f>
        <v>0</v>
      </c>
      <c r="X37" s="25" t="n">
        <f aca="false">IF(OR($C37="",$C37=0,$E37="",$B37="",$G37=-2),0,$C37*IF($G37=0,IF(IF($F37="",X$4,MIN(X$4,$F37))&lt;$E37,0,MAX(0,INT((IF($F37="",X$4,MIN(X$4,$F37))-$E37)/7)+1-MAX(0,ROUNDUP((X$3-$E37)/7,0)))),IF($G37=101,(AND(EOMONTH(X$3,0)&gt;=MAX(X$3,$E37),EOMONTH(X$3,0)&lt;=IF($F37="",X$4,MIN(X$4,$F37)))*1+AND(EOMONTH(X$4,0)&lt;&gt;EOMONTH(X$3,0),EOMONTH(X$4,0)&gt;=MAX(X$3,$E37),EOMONTH(X$4,0)&lt;=IF($F37="",X$4,MIN(X$4,$F37)))*1),IF($G37=102,(AND(WORKDAY(EOMONTH(X$3,0)+1,-3)&gt;=MAX(X$3,$E37),WORKDAY(EOMONTH(X$3,0)+1,-3)&lt;=IF($F37="",X$4,MIN(X$4,$F37)))*1+AND(WORKDAY(EOMONTH(X$4,0)+1,-3)&lt;&gt;WORKDAY(EOMONTH(X$3,0)+1,-3),WORKDAY(EOMONTH(X$4,0)+1,-3)&gt;=MAX(X$3,$E37),WORKDAY(EOMONTH(X$4,0)+1,-3)&lt;=IF($F37="",X$4,MIN(X$4,$F37)))*1),IF(AND(IF(EDATE($E37,MAX(0,ROUNDUP(((YEAR(X$3)-YEAR($E37))*12+MONTH(X$3)-MONTH($E37))/$G37,0)*$G37))&lt;X$3,EDATE($E37,MAX(0,ROUNDUP(((YEAR(X$3)-YEAR($E37))*12+MONTH(X$3)-MONTH($E37))/$G37,0)*$G37)+$G37),EDATE($E37,MAX(0,ROUNDUP(((YEAR(X$3)-YEAR($E37))*12+MONTH(X$3)-MONTH($E37))/$G37,0)*$G37)))&gt;=X$3,IF(EDATE($E37,MAX(0,ROUNDUP(((YEAR(X$3)-YEAR($E37))*12+MONTH(X$3)-MONTH($E37))/$G37,0)*$G37))&lt;X$3,EDATE($E37,MAX(0,ROUNDUP(((YEAR(X$3)-YEAR($E37))*12+MONTH(X$3)-MONTH($E37))/$G37,0)*$G37)+$G37),EDATE($E37,MAX(0,ROUNDUP(((YEAR(X$3)-YEAR($E37))*12+MONTH(X$3)-MONTH($E37))/$G37,0)*$G37)))&lt;=IF($F37="",X$4,MIN(X$4,$F37))),1,0)))))</f>
        <v>0</v>
      </c>
      <c r="Y37" s="25" t="n">
        <f aca="false">IF(OR($C37="",$C37=0,$E37="",$B37="",$G37=-2),0,$C37*IF($G37=0,IF(IF($F37="",Y$4,MIN(Y$4,$F37))&lt;$E37,0,MAX(0,INT((IF($F37="",Y$4,MIN(Y$4,$F37))-$E37)/7)+1-MAX(0,ROUNDUP((Y$3-$E37)/7,0)))),IF($G37=101,(AND(EOMONTH(Y$3,0)&gt;=MAX(Y$3,$E37),EOMONTH(Y$3,0)&lt;=IF($F37="",Y$4,MIN(Y$4,$F37)))*1+AND(EOMONTH(Y$4,0)&lt;&gt;EOMONTH(Y$3,0),EOMONTH(Y$4,0)&gt;=MAX(Y$3,$E37),EOMONTH(Y$4,0)&lt;=IF($F37="",Y$4,MIN(Y$4,$F37)))*1),IF($G37=102,(AND(WORKDAY(EOMONTH(Y$3,0)+1,-3)&gt;=MAX(Y$3,$E37),WORKDAY(EOMONTH(Y$3,0)+1,-3)&lt;=IF($F37="",Y$4,MIN(Y$4,$F37)))*1+AND(WORKDAY(EOMONTH(Y$4,0)+1,-3)&lt;&gt;WORKDAY(EOMONTH(Y$3,0)+1,-3),WORKDAY(EOMONTH(Y$4,0)+1,-3)&gt;=MAX(Y$3,$E37),WORKDAY(EOMONTH(Y$4,0)+1,-3)&lt;=IF($F37="",Y$4,MIN(Y$4,$F37)))*1),IF(AND(IF(EDATE($E37,MAX(0,ROUNDUP(((YEAR(Y$3)-YEAR($E37))*12+MONTH(Y$3)-MONTH($E37))/$G37,0)*$G37))&lt;Y$3,EDATE($E37,MAX(0,ROUNDUP(((YEAR(Y$3)-YEAR($E37))*12+MONTH(Y$3)-MONTH($E37))/$G37,0)*$G37)+$G37),EDATE($E37,MAX(0,ROUNDUP(((YEAR(Y$3)-YEAR($E37))*12+MONTH(Y$3)-MONTH($E37))/$G37,0)*$G37)))&gt;=Y$3,IF(EDATE($E37,MAX(0,ROUNDUP(((YEAR(Y$3)-YEAR($E37))*12+MONTH(Y$3)-MONTH($E37))/$G37,0)*$G37))&lt;Y$3,EDATE($E37,MAX(0,ROUNDUP(((YEAR(Y$3)-YEAR($E37))*12+MONTH(Y$3)-MONTH($E37))/$G37,0)*$G37)+$G37),EDATE($E37,MAX(0,ROUNDUP(((YEAR(Y$3)-YEAR($E37))*12+MONTH(Y$3)-MONTH($E37))/$G37,0)*$G37)))&lt;=IF($F37="",Y$4,MIN(Y$4,$F37))),1,0)))))</f>
        <v>0</v>
      </c>
      <c r="Z37" s="25" t="n">
        <f aca="false">IF(OR($C37="",$C37=0,$E37="",$B37="",$G37=-2),0,$C37*IF($G37=0,IF(IF($F37="",Z$4,MIN(Z$4,$F37))&lt;$E37,0,MAX(0,INT((IF($F37="",Z$4,MIN(Z$4,$F37))-$E37)/7)+1-MAX(0,ROUNDUP((Z$3-$E37)/7,0)))),IF($G37=101,(AND(EOMONTH(Z$3,0)&gt;=MAX(Z$3,$E37),EOMONTH(Z$3,0)&lt;=IF($F37="",Z$4,MIN(Z$4,$F37)))*1+AND(EOMONTH(Z$4,0)&lt;&gt;EOMONTH(Z$3,0),EOMONTH(Z$4,0)&gt;=MAX(Z$3,$E37),EOMONTH(Z$4,0)&lt;=IF($F37="",Z$4,MIN(Z$4,$F37)))*1),IF($G37=102,(AND(WORKDAY(EOMONTH(Z$3,0)+1,-3)&gt;=MAX(Z$3,$E37),WORKDAY(EOMONTH(Z$3,0)+1,-3)&lt;=IF($F37="",Z$4,MIN(Z$4,$F37)))*1+AND(WORKDAY(EOMONTH(Z$4,0)+1,-3)&lt;&gt;WORKDAY(EOMONTH(Z$3,0)+1,-3),WORKDAY(EOMONTH(Z$4,0)+1,-3)&gt;=MAX(Z$3,$E37),WORKDAY(EOMONTH(Z$4,0)+1,-3)&lt;=IF($F37="",Z$4,MIN(Z$4,$F37)))*1),IF(AND(IF(EDATE($E37,MAX(0,ROUNDUP(((YEAR(Z$3)-YEAR($E37))*12+MONTH(Z$3)-MONTH($E37))/$G37,0)*$G37))&lt;Z$3,EDATE($E37,MAX(0,ROUNDUP(((YEAR(Z$3)-YEAR($E37))*12+MONTH(Z$3)-MONTH($E37))/$G37,0)*$G37)+$G37),EDATE($E37,MAX(0,ROUNDUP(((YEAR(Z$3)-YEAR($E37))*12+MONTH(Z$3)-MONTH($E37))/$G37,0)*$G37)))&gt;=Z$3,IF(EDATE($E37,MAX(0,ROUNDUP(((YEAR(Z$3)-YEAR($E37))*12+MONTH(Z$3)-MONTH($E37))/$G37,0)*$G37))&lt;Z$3,EDATE($E37,MAX(0,ROUNDUP(((YEAR(Z$3)-YEAR($E37))*12+MONTH(Z$3)-MONTH($E37))/$G37,0)*$G37)+$G37),EDATE($E37,MAX(0,ROUNDUP(((YEAR(Z$3)-YEAR($E37))*12+MONTH(Z$3)-MONTH($E37))/$G37,0)*$G37)))&lt;=IF($F37="",Z$4,MIN(Z$4,$F37))),1,0)))))</f>
        <v>0</v>
      </c>
      <c r="AA37" s="25" t="n">
        <f aca="false">IF(OR($C37="",$C37=0,$E37="",$B37="",$G37=-2),0,$C37*IF($G37=0,IF(IF($F37="",AA$4,MIN(AA$4,$F37))&lt;$E37,0,MAX(0,INT((IF($F37="",AA$4,MIN(AA$4,$F37))-$E37)/7)+1-MAX(0,ROUNDUP((AA$3-$E37)/7,0)))),IF($G37=101,(AND(EOMONTH(AA$3,0)&gt;=MAX(AA$3,$E37),EOMONTH(AA$3,0)&lt;=IF($F37="",AA$4,MIN(AA$4,$F37)))*1+AND(EOMONTH(AA$4,0)&lt;&gt;EOMONTH(AA$3,0),EOMONTH(AA$4,0)&gt;=MAX(AA$3,$E37),EOMONTH(AA$4,0)&lt;=IF($F37="",AA$4,MIN(AA$4,$F37)))*1),IF($G37=102,(AND(WORKDAY(EOMONTH(AA$3,0)+1,-3)&gt;=MAX(AA$3,$E37),WORKDAY(EOMONTH(AA$3,0)+1,-3)&lt;=IF($F37="",AA$4,MIN(AA$4,$F37)))*1+AND(WORKDAY(EOMONTH(AA$4,0)+1,-3)&lt;&gt;WORKDAY(EOMONTH(AA$3,0)+1,-3),WORKDAY(EOMONTH(AA$4,0)+1,-3)&gt;=MAX(AA$3,$E37),WORKDAY(EOMONTH(AA$4,0)+1,-3)&lt;=IF($F37="",AA$4,MIN(AA$4,$F37)))*1),IF(AND(IF(EDATE($E37,MAX(0,ROUNDUP(((YEAR(AA$3)-YEAR($E37))*12+MONTH(AA$3)-MONTH($E37))/$G37,0)*$G37))&lt;AA$3,EDATE($E37,MAX(0,ROUNDUP(((YEAR(AA$3)-YEAR($E37))*12+MONTH(AA$3)-MONTH($E37))/$G37,0)*$G37)+$G37),EDATE($E37,MAX(0,ROUNDUP(((YEAR(AA$3)-YEAR($E37))*12+MONTH(AA$3)-MONTH($E37))/$G37,0)*$G37)))&gt;=AA$3,IF(EDATE($E37,MAX(0,ROUNDUP(((YEAR(AA$3)-YEAR($E37))*12+MONTH(AA$3)-MONTH($E37))/$G37,0)*$G37))&lt;AA$3,EDATE($E37,MAX(0,ROUNDUP(((YEAR(AA$3)-YEAR($E37))*12+MONTH(AA$3)-MONTH($E37))/$G37,0)*$G37)+$G37),EDATE($E37,MAX(0,ROUNDUP(((YEAR(AA$3)-YEAR($E37))*12+MONTH(AA$3)-MONTH($E37))/$G37,0)*$G37)))&lt;=IF($F37="",AA$4,MIN(AA$4,$F37))),1,0)))))</f>
        <v>0</v>
      </c>
      <c r="AB37" s="25" t="n">
        <f aca="false">IF(OR($C37="",$C37=0,$E37="",$B37="",$G37=-2),0,$C37*IF($G37=0,IF(IF($F37="",AB$4,MIN(AB$4,$F37))&lt;$E37,0,MAX(0,INT((IF($F37="",AB$4,MIN(AB$4,$F37))-$E37)/7)+1-MAX(0,ROUNDUP((AB$3-$E37)/7,0)))),IF($G37=101,(AND(EOMONTH(AB$3,0)&gt;=MAX(AB$3,$E37),EOMONTH(AB$3,0)&lt;=IF($F37="",AB$4,MIN(AB$4,$F37)))*1+AND(EOMONTH(AB$4,0)&lt;&gt;EOMONTH(AB$3,0),EOMONTH(AB$4,0)&gt;=MAX(AB$3,$E37),EOMONTH(AB$4,0)&lt;=IF($F37="",AB$4,MIN(AB$4,$F37)))*1),IF($G37=102,(AND(WORKDAY(EOMONTH(AB$3,0)+1,-3)&gt;=MAX(AB$3,$E37),WORKDAY(EOMONTH(AB$3,0)+1,-3)&lt;=IF($F37="",AB$4,MIN(AB$4,$F37)))*1+AND(WORKDAY(EOMONTH(AB$4,0)+1,-3)&lt;&gt;WORKDAY(EOMONTH(AB$3,0)+1,-3),WORKDAY(EOMONTH(AB$4,0)+1,-3)&gt;=MAX(AB$3,$E37),WORKDAY(EOMONTH(AB$4,0)+1,-3)&lt;=IF($F37="",AB$4,MIN(AB$4,$F37)))*1),IF(AND(IF(EDATE($E37,MAX(0,ROUNDUP(((YEAR(AB$3)-YEAR($E37))*12+MONTH(AB$3)-MONTH($E37))/$G37,0)*$G37))&lt;AB$3,EDATE($E37,MAX(0,ROUNDUP(((YEAR(AB$3)-YEAR($E37))*12+MONTH(AB$3)-MONTH($E37))/$G37,0)*$G37)+$G37),EDATE($E37,MAX(0,ROUNDUP(((YEAR(AB$3)-YEAR($E37))*12+MONTH(AB$3)-MONTH($E37))/$G37,0)*$G37)))&gt;=AB$3,IF(EDATE($E37,MAX(0,ROUNDUP(((YEAR(AB$3)-YEAR($E37))*12+MONTH(AB$3)-MONTH($E37))/$G37,0)*$G37))&lt;AB$3,EDATE($E37,MAX(0,ROUNDUP(((YEAR(AB$3)-YEAR($E37))*12+MONTH(AB$3)-MONTH($E37))/$G37,0)*$G37)+$G37),EDATE($E37,MAX(0,ROUNDUP(((YEAR(AB$3)-YEAR($E37))*12+MONTH(AB$3)-MONTH($E37))/$G37,0)*$G37)))&lt;=IF($F37="",AB$4,MIN(AB$4,$F37))),1,0)))))</f>
        <v>0</v>
      </c>
      <c r="AC37" s="25" t="n">
        <f aca="false">IF(OR($C37="",$C37=0,$E37="",$B37="",$G37=-2),0,$C37*IF($G37=0,IF(IF($F37="",AC$4,MIN(AC$4,$F37))&lt;$E37,0,MAX(0,INT((IF($F37="",AC$4,MIN(AC$4,$F37))-$E37)/7)+1-MAX(0,ROUNDUP((AC$3-$E37)/7,0)))),IF($G37=101,(AND(EOMONTH(AC$3,0)&gt;=MAX(AC$3,$E37),EOMONTH(AC$3,0)&lt;=IF($F37="",AC$4,MIN(AC$4,$F37)))*1+AND(EOMONTH(AC$4,0)&lt;&gt;EOMONTH(AC$3,0),EOMONTH(AC$4,0)&gt;=MAX(AC$3,$E37),EOMONTH(AC$4,0)&lt;=IF($F37="",AC$4,MIN(AC$4,$F37)))*1),IF($G37=102,(AND(WORKDAY(EOMONTH(AC$3,0)+1,-3)&gt;=MAX(AC$3,$E37),WORKDAY(EOMONTH(AC$3,0)+1,-3)&lt;=IF($F37="",AC$4,MIN(AC$4,$F37)))*1+AND(WORKDAY(EOMONTH(AC$4,0)+1,-3)&lt;&gt;WORKDAY(EOMONTH(AC$3,0)+1,-3),WORKDAY(EOMONTH(AC$4,0)+1,-3)&gt;=MAX(AC$3,$E37),WORKDAY(EOMONTH(AC$4,0)+1,-3)&lt;=IF($F37="",AC$4,MIN(AC$4,$F37)))*1),IF(AND(IF(EDATE($E37,MAX(0,ROUNDUP(((YEAR(AC$3)-YEAR($E37))*12+MONTH(AC$3)-MONTH($E37))/$G37,0)*$G37))&lt;AC$3,EDATE($E37,MAX(0,ROUNDUP(((YEAR(AC$3)-YEAR($E37))*12+MONTH(AC$3)-MONTH($E37))/$G37,0)*$G37)+$G37),EDATE($E37,MAX(0,ROUNDUP(((YEAR(AC$3)-YEAR($E37))*12+MONTH(AC$3)-MONTH($E37))/$G37,0)*$G37)))&gt;=AC$3,IF(EDATE($E37,MAX(0,ROUNDUP(((YEAR(AC$3)-YEAR($E37))*12+MONTH(AC$3)-MONTH($E37))/$G37,0)*$G37))&lt;AC$3,EDATE($E37,MAX(0,ROUNDUP(((YEAR(AC$3)-YEAR($E37))*12+MONTH(AC$3)-MONTH($E37))/$G37,0)*$G37)+$G37),EDATE($E37,MAX(0,ROUNDUP(((YEAR(AC$3)-YEAR($E37))*12+MONTH(AC$3)-MONTH($E37))/$G37,0)*$G37)))&lt;=IF($F37="",AC$4,MIN(AC$4,$F37))),1,0)))))</f>
        <v>0</v>
      </c>
      <c r="AD37" s="25" t="n">
        <f aca="false">IF(OR($C37="",$C37=0,$E37="",$B37="",$G37=-2),0,$C37*IF($G37=0,IF(IF($F37="",AD$4,MIN(AD$4,$F37))&lt;$E37,0,MAX(0,INT((IF($F37="",AD$4,MIN(AD$4,$F37))-$E37)/7)+1-MAX(0,ROUNDUP((AD$3-$E37)/7,0)))),IF($G37=101,(AND(EOMONTH(AD$3,0)&gt;=MAX(AD$3,$E37),EOMONTH(AD$3,0)&lt;=IF($F37="",AD$4,MIN(AD$4,$F37)))*1+AND(EOMONTH(AD$4,0)&lt;&gt;EOMONTH(AD$3,0),EOMONTH(AD$4,0)&gt;=MAX(AD$3,$E37),EOMONTH(AD$4,0)&lt;=IF($F37="",AD$4,MIN(AD$4,$F37)))*1),IF($G37=102,(AND(WORKDAY(EOMONTH(AD$3,0)+1,-3)&gt;=MAX(AD$3,$E37),WORKDAY(EOMONTH(AD$3,0)+1,-3)&lt;=IF($F37="",AD$4,MIN(AD$4,$F37)))*1+AND(WORKDAY(EOMONTH(AD$4,0)+1,-3)&lt;&gt;WORKDAY(EOMONTH(AD$3,0)+1,-3),WORKDAY(EOMONTH(AD$4,0)+1,-3)&gt;=MAX(AD$3,$E37),WORKDAY(EOMONTH(AD$4,0)+1,-3)&lt;=IF($F37="",AD$4,MIN(AD$4,$F37)))*1),IF(AND(IF(EDATE($E37,MAX(0,ROUNDUP(((YEAR(AD$3)-YEAR($E37))*12+MONTH(AD$3)-MONTH($E37))/$G37,0)*$G37))&lt;AD$3,EDATE($E37,MAX(0,ROUNDUP(((YEAR(AD$3)-YEAR($E37))*12+MONTH(AD$3)-MONTH($E37))/$G37,0)*$G37)+$G37),EDATE($E37,MAX(0,ROUNDUP(((YEAR(AD$3)-YEAR($E37))*12+MONTH(AD$3)-MONTH($E37))/$G37,0)*$G37)))&gt;=AD$3,IF(EDATE($E37,MAX(0,ROUNDUP(((YEAR(AD$3)-YEAR($E37))*12+MONTH(AD$3)-MONTH($E37))/$G37,0)*$G37))&lt;AD$3,EDATE($E37,MAX(0,ROUNDUP(((YEAR(AD$3)-YEAR($E37))*12+MONTH(AD$3)-MONTH($E37))/$G37,0)*$G37)+$G37),EDATE($E37,MAX(0,ROUNDUP(((YEAR(AD$3)-YEAR($E37))*12+MONTH(AD$3)-MONTH($E37))/$G37,0)*$G37)))&lt;=IF($F37="",AD$4,MIN(AD$4,$F37))),1,0)))))</f>
        <v>0</v>
      </c>
      <c r="AE37" s="25" t="n">
        <f aca="false">IF(OR($C37="",$C37=0,$E37="",$B37="",$G37=-2),0,$C37*IF($G37=0,IF(IF($F37="",AE$4,MIN(AE$4,$F37))&lt;$E37,0,MAX(0,INT((IF($F37="",AE$4,MIN(AE$4,$F37))-$E37)/7)+1-MAX(0,ROUNDUP((AE$3-$E37)/7,0)))),IF($G37=101,(AND(EOMONTH(AE$3,0)&gt;=MAX(AE$3,$E37),EOMONTH(AE$3,0)&lt;=IF($F37="",AE$4,MIN(AE$4,$F37)))*1+AND(EOMONTH(AE$4,0)&lt;&gt;EOMONTH(AE$3,0),EOMONTH(AE$4,0)&gt;=MAX(AE$3,$E37),EOMONTH(AE$4,0)&lt;=IF($F37="",AE$4,MIN(AE$4,$F37)))*1),IF($G37=102,(AND(WORKDAY(EOMONTH(AE$3,0)+1,-3)&gt;=MAX(AE$3,$E37),WORKDAY(EOMONTH(AE$3,0)+1,-3)&lt;=IF($F37="",AE$4,MIN(AE$4,$F37)))*1+AND(WORKDAY(EOMONTH(AE$4,0)+1,-3)&lt;&gt;WORKDAY(EOMONTH(AE$3,0)+1,-3),WORKDAY(EOMONTH(AE$4,0)+1,-3)&gt;=MAX(AE$3,$E37),WORKDAY(EOMONTH(AE$4,0)+1,-3)&lt;=IF($F37="",AE$4,MIN(AE$4,$F37)))*1),IF(AND(IF(EDATE($E37,MAX(0,ROUNDUP(((YEAR(AE$3)-YEAR($E37))*12+MONTH(AE$3)-MONTH($E37))/$G37,0)*$G37))&lt;AE$3,EDATE($E37,MAX(0,ROUNDUP(((YEAR(AE$3)-YEAR($E37))*12+MONTH(AE$3)-MONTH($E37))/$G37,0)*$G37)+$G37),EDATE($E37,MAX(0,ROUNDUP(((YEAR(AE$3)-YEAR($E37))*12+MONTH(AE$3)-MONTH($E37))/$G37,0)*$G37)))&gt;=AE$3,IF(EDATE($E37,MAX(0,ROUNDUP(((YEAR(AE$3)-YEAR($E37))*12+MONTH(AE$3)-MONTH($E37))/$G37,0)*$G37))&lt;AE$3,EDATE($E37,MAX(0,ROUNDUP(((YEAR(AE$3)-YEAR($E37))*12+MONTH(AE$3)-MONTH($E37))/$G37,0)*$G37)+$G37),EDATE($E37,MAX(0,ROUNDUP(((YEAR(AE$3)-YEAR($E37))*12+MONTH(AE$3)-MONTH($E37))/$G37,0)*$G37)))&lt;=IF($F37="",AE$4,MIN(AE$4,$F37))),1,0)))))</f>
        <v>0</v>
      </c>
      <c r="AF37" s="25" t="n">
        <f aca="false">IF(OR($C37="",$C37=0,$E37="",$B37="",$G37=-2),0,$C37*IF($G37=0,IF(IF($F37="",AF$4,MIN(AF$4,$F37))&lt;$E37,0,MAX(0,INT((IF($F37="",AF$4,MIN(AF$4,$F37))-$E37)/7)+1-MAX(0,ROUNDUP((AF$3-$E37)/7,0)))),IF($G37=101,(AND(EOMONTH(AF$3,0)&gt;=MAX(AF$3,$E37),EOMONTH(AF$3,0)&lt;=IF($F37="",AF$4,MIN(AF$4,$F37)))*1+AND(EOMONTH(AF$4,0)&lt;&gt;EOMONTH(AF$3,0),EOMONTH(AF$4,0)&gt;=MAX(AF$3,$E37),EOMONTH(AF$4,0)&lt;=IF($F37="",AF$4,MIN(AF$4,$F37)))*1),IF($G37=102,(AND(WORKDAY(EOMONTH(AF$3,0)+1,-3)&gt;=MAX(AF$3,$E37),WORKDAY(EOMONTH(AF$3,0)+1,-3)&lt;=IF($F37="",AF$4,MIN(AF$4,$F37)))*1+AND(WORKDAY(EOMONTH(AF$4,0)+1,-3)&lt;&gt;WORKDAY(EOMONTH(AF$3,0)+1,-3),WORKDAY(EOMONTH(AF$4,0)+1,-3)&gt;=MAX(AF$3,$E37),WORKDAY(EOMONTH(AF$4,0)+1,-3)&lt;=IF($F37="",AF$4,MIN(AF$4,$F37)))*1),IF(AND(IF(EDATE($E37,MAX(0,ROUNDUP(((YEAR(AF$3)-YEAR($E37))*12+MONTH(AF$3)-MONTH($E37))/$G37,0)*$G37))&lt;AF$3,EDATE($E37,MAX(0,ROUNDUP(((YEAR(AF$3)-YEAR($E37))*12+MONTH(AF$3)-MONTH($E37))/$G37,0)*$G37)+$G37),EDATE($E37,MAX(0,ROUNDUP(((YEAR(AF$3)-YEAR($E37))*12+MONTH(AF$3)-MONTH($E37))/$G37,0)*$G37)))&gt;=AF$3,IF(EDATE($E37,MAX(0,ROUNDUP(((YEAR(AF$3)-YEAR($E37))*12+MONTH(AF$3)-MONTH($E37))/$G37,0)*$G37))&lt;AF$3,EDATE($E37,MAX(0,ROUNDUP(((YEAR(AF$3)-YEAR($E37))*12+MONTH(AF$3)-MONTH($E37))/$G37,0)*$G37)+$G37),EDATE($E37,MAX(0,ROUNDUP(((YEAR(AF$3)-YEAR($E37))*12+MONTH(AF$3)-MONTH($E37))/$G37,0)*$G37)))&lt;=IF($F37="",AF$4,MIN(AF$4,$F37))),1,0)))))</f>
        <v>0</v>
      </c>
    </row>
    <row r="38" customFormat="false" ht="15" hidden="false" customHeight="false" outlineLevel="0" collapsed="false">
      <c r="A38" s="5"/>
      <c r="B38" s="5"/>
      <c r="C38" s="8"/>
      <c r="D38" s="5"/>
      <c r="E38" s="7"/>
      <c r="F38" s="7"/>
      <c r="G38" s="24" t="n">
        <f aca="false">IFERROR(INDEX(Listen!$E$2:$E$8,MATCH(D38,Listen!$D$2:$D$8,0)),-2)</f>
        <v>-2</v>
      </c>
      <c r="H38" s="25" t="n">
        <f aca="false">IF(OR($C38="",$C38=0,$E38="",$B38="",$G38=-2),0,$C38*IF($G38=0,IF(IF($F38="",H$4,MIN(H$4,$F38))&lt;$E38,0,MAX(0,INT((IF($F38="",H$4,MIN(H$4,$F38))-$E38)/7)+1-MAX(0,ROUNDUP((H$3-$E38)/7,0)))),IF($G38=101,(AND(EOMONTH(H$3,0)&gt;=MAX(H$3,$E38),EOMONTH(H$3,0)&lt;=IF($F38="",H$4,MIN(H$4,$F38)))*1+AND(EOMONTH(H$4,0)&lt;&gt;EOMONTH(H$3,0),EOMONTH(H$4,0)&gt;=MAX(H$3,$E38),EOMONTH(H$4,0)&lt;=IF($F38="",H$4,MIN(H$4,$F38)))*1),IF($G38=102,(AND(WORKDAY(EOMONTH(H$3,0)+1,-3)&gt;=MAX(H$3,$E38),WORKDAY(EOMONTH(H$3,0)+1,-3)&lt;=IF($F38="",H$4,MIN(H$4,$F38)))*1+AND(WORKDAY(EOMONTH(H$4,0)+1,-3)&lt;&gt;WORKDAY(EOMONTH(H$3,0)+1,-3),WORKDAY(EOMONTH(H$4,0)+1,-3)&gt;=MAX(H$3,$E38),WORKDAY(EOMONTH(H$4,0)+1,-3)&lt;=IF($F38="",H$4,MIN(H$4,$F38)))*1),IF(AND(IF(EDATE($E38,MAX(0,ROUNDUP(((YEAR(H$3)-YEAR($E38))*12+MONTH(H$3)-MONTH($E38))/$G38,0)*$G38))&lt;H$3,EDATE($E38,MAX(0,ROUNDUP(((YEAR(H$3)-YEAR($E38))*12+MONTH(H$3)-MONTH($E38))/$G38,0)*$G38)+$G38),EDATE($E38,MAX(0,ROUNDUP(((YEAR(H$3)-YEAR($E38))*12+MONTH(H$3)-MONTH($E38))/$G38,0)*$G38)))&gt;=H$3,IF(EDATE($E38,MAX(0,ROUNDUP(((YEAR(H$3)-YEAR($E38))*12+MONTH(H$3)-MONTH($E38))/$G38,0)*$G38))&lt;H$3,EDATE($E38,MAX(0,ROUNDUP(((YEAR(H$3)-YEAR($E38))*12+MONTH(H$3)-MONTH($E38))/$G38,0)*$G38)+$G38),EDATE($E38,MAX(0,ROUNDUP(((YEAR(H$3)-YEAR($E38))*12+MONTH(H$3)-MONTH($E38))/$G38,0)*$G38)))&lt;=IF($F38="",H$4,MIN(H$4,$F38))),1,0)))))</f>
        <v>0</v>
      </c>
      <c r="I38" s="25" t="n">
        <f aca="false">IF(OR($C38="",$C38=0,$E38="",$B38="",$G38=-2),0,$C38*IF($G38=0,IF(IF($F38="",I$4,MIN(I$4,$F38))&lt;$E38,0,MAX(0,INT((IF($F38="",I$4,MIN(I$4,$F38))-$E38)/7)+1-MAX(0,ROUNDUP((I$3-$E38)/7,0)))),IF($G38=101,(AND(EOMONTH(I$3,0)&gt;=MAX(I$3,$E38),EOMONTH(I$3,0)&lt;=IF($F38="",I$4,MIN(I$4,$F38)))*1+AND(EOMONTH(I$4,0)&lt;&gt;EOMONTH(I$3,0),EOMONTH(I$4,0)&gt;=MAX(I$3,$E38),EOMONTH(I$4,0)&lt;=IF($F38="",I$4,MIN(I$4,$F38)))*1),IF($G38=102,(AND(WORKDAY(EOMONTH(I$3,0)+1,-3)&gt;=MAX(I$3,$E38),WORKDAY(EOMONTH(I$3,0)+1,-3)&lt;=IF($F38="",I$4,MIN(I$4,$F38)))*1+AND(WORKDAY(EOMONTH(I$4,0)+1,-3)&lt;&gt;WORKDAY(EOMONTH(I$3,0)+1,-3),WORKDAY(EOMONTH(I$4,0)+1,-3)&gt;=MAX(I$3,$E38),WORKDAY(EOMONTH(I$4,0)+1,-3)&lt;=IF($F38="",I$4,MIN(I$4,$F38)))*1),IF(AND(IF(EDATE($E38,MAX(0,ROUNDUP(((YEAR(I$3)-YEAR($E38))*12+MONTH(I$3)-MONTH($E38))/$G38,0)*$G38))&lt;I$3,EDATE($E38,MAX(0,ROUNDUP(((YEAR(I$3)-YEAR($E38))*12+MONTH(I$3)-MONTH($E38))/$G38,0)*$G38)+$G38),EDATE($E38,MAX(0,ROUNDUP(((YEAR(I$3)-YEAR($E38))*12+MONTH(I$3)-MONTH($E38))/$G38,0)*$G38)))&gt;=I$3,IF(EDATE($E38,MAX(0,ROUNDUP(((YEAR(I$3)-YEAR($E38))*12+MONTH(I$3)-MONTH($E38))/$G38,0)*$G38))&lt;I$3,EDATE($E38,MAX(0,ROUNDUP(((YEAR(I$3)-YEAR($E38))*12+MONTH(I$3)-MONTH($E38))/$G38,0)*$G38)+$G38),EDATE($E38,MAX(0,ROUNDUP(((YEAR(I$3)-YEAR($E38))*12+MONTH(I$3)-MONTH($E38))/$G38,0)*$G38)))&lt;=IF($F38="",I$4,MIN(I$4,$F38))),1,0)))))</f>
        <v>0</v>
      </c>
      <c r="J38" s="25" t="n">
        <f aca="false">IF(OR($C38="",$C38=0,$E38="",$B38="",$G38=-2),0,$C38*IF($G38=0,IF(IF($F38="",J$4,MIN(J$4,$F38))&lt;$E38,0,MAX(0,INT((IF($F38="",J$4,MIN(J$4,$F38))-$E38)/7)+1-MAX(0,ROUNDUP((J$3-$E38)/7,0)))),IF($G38=101,(AND(EOMONTH(J$3,0)&gt;=MAX(J$3,$E38),EOMONTH(J$3,0)&lt;=IF($F38="",J$4,MIN(J$4,$F38)))*1+AND(EOMONTH(J$4,0)&lt;&gt;EOMONTH(J$3,0),EOMONTH(J$4,0)&gt;=MAX(J$3,$E38),EOMONTH(J$4,0)&lt;=IF($F38="",J$4,MIN(J$4,$F38)))*1),IF($G38=102,(AND(WORKDAY(EOMONTH(J$3,0)+1,-3)&gt;=MAX(J$3,$E38),WORKDAY(EOMONTH(J$3,0)+1,-3)&lt;=IF($F38="",J$4,MIN(J$4,$F38)))*1+AND(WORKDAY(EOMONTH(J$4,0)+1,-3)&lt;&gt;WORKDAY(EOMONTH(J$3,0)+1,-3),WORKDAY(EOMONTH(J$4,0)+1,-3)&gt;=MAX(J$3,$E38),WORKDAY(EOMONTH(J$4,0)+1,-3)&lt;=IF($F38="",J$4,MIN(J$4,$F38)))*1),IF(AND(IF(EDATE($E38,MAX(0,ROUNDUP(((YEAR(J$3)-YEAR($E38))*12+MONTH(J$3)-MONTH($E38))/$G38,0)*$G38))&lt;J$3,EDATE($E38,MAX(0,ROUNDUP(((YEAR(J$3)-YEAR($E38))*12+MONTH(J$3)-MONTH($E38))/$G38,0)*$G38)+$G38),EDATE($E38,MAX(0,ROUNDUP(((YEAR(J$3)-YEAR($E38))*12+MONTH(J$3)-MONTH($E38))/$G38,0)*$G38)))&gt;=J$3,IF(EDATE($E38,MAX(0,ROUNDUP(((YEAR(J$3)-YEAR($E38))*12+MONTH(J$3)-MONTH($E38))/$G38,0)*$G38))&lt;J$3,EDATE($E38,MAX(0,ROUNDUP(((YEAR(J$3)-YEAR($E38))*12+MONTH(J$3)-MONTH($E38))/$G38,0)*$G38)+$G38),EDATE($E38,MAX(0,ROUNDUP(((YEAR(J$3)-YEAR($E38))*12+MONTH(J$3)-MONTH($E38))/$G38,0)*$G38)))&lt;=IF($F38="",J$4,MIN(J$4,$F38))),1,0)))))</f>
        <v>0</v>
      </c>
      <c r="K38" s="25" t="n">
        <f aca="false">IF(OR($C38="",$C38=0,$E38="",$B38="",$G38=-2),0,$C38*IF($G38=0,IF(IF($F38="",K$4,MIN(K$4,$F38))&lt;$E38,0,MAX(0,INT((IF($F38="",K$4,MIN(K$4,$F38))-$E38)/7)+1-MAX(0,ROUNDUP((K$3-$E38)/7,0)))),IF($G38=101,(AND(EOMONTH(K$3,0)&gt;=MAX(K$3,$E38),EOMONTH(K$3,0)&lt;=IF($F38="",K$4,MIN(K$4,$F38)))*1+AND(EOMONTH(K$4,0)&lt;&gt;EOMONTH(K$3,0),EOMONTH(K$4,0)&gt;=MAX(K$3,$E38),EOMONTH(K$4,0)&lt;=IF($F38="",K$4,MIN(K$4,$F38)))*1),IF($G38=102,(AND(WORKDAY(EOMONTH(K$3,0)+1,-3)&gt;=MAX(K$3,$E38),WORKDAY(EOMONTH(K$3,0)+1,-3)&lt;=IF($F38="",K$4,MIN(K$4,$F38)))*1+AND(WORKDAY(EOMONTH(K$4,0)+1,-3)&lt;&gt;WORKDAY(EOMONTH(K$3,0)+1,-3),WORKDAY(EOMONTH(K$4,0)+1,-3)&gt;=MAX(K$3,$E38),WORKDAY(EOMONTH(K$4,0)+1,-3)&lt;=IF($F38="",K$4,MIN(K$4,$F38)))*1),IF(AND(IF(EDATE($E38,MAX(0,ROUNDUP(((YEAR(K$3)-YEAR($E38))*12+MONTH(K$3)-MONTH($E38))/$G38,0)*$G38))&lt;K$3,EDATE($E38,MAX(0,ROUNDUP(((YEAR(K$3)-YEAR($E38))*12+MONTH(K$3)-MONTH($E38))/$G38,0)*$G38)+$G38),EDATE($E38,MAX(0,ROUNDUP(((YEAR(K$3)-YEAR($E38))*12+MONTH(K$3)-MONTH($E38))/$G38,0)*$G38)))&gt;=K$3,IF(EDATE($E38,MAX(0,ROUNDUP(((YEAR(K$3)-YEAR($E38))*12+MONTH(K$3)-MONTH($E38))/$G38,0)*$G38))&lt;K$3,EDATE($E38,MAX(0,ROUNDUP(((YEAR(K$3)-YEAR($E38))*12+MONTH(K$3)-MONTH($E38))/$G38,0)*$G38)+$G38),EDATE($E38,MAX(0,ROUNDUP(((YEAR(K$3)-YEAR($E38))*12+MONTH(K$3)-MONTH($E38))/$G38,0)*$G38)))&lt;=IF($F38="",K$4,MIN(K$4,$F38))),1,0)))))</f>
        <v>0</v>
      </c>
      <c r="L38" s="25" t="n">
        <f aca="false">IF(OR($C38="",$C38=0,$E38="",$B38="",$G38=-2),0,$C38*IF($G38=0,IF(IF($F38="",L$4,MIN(L$4,$F38))&lt;$E38,0,MAX(0,INT((IF($F38="",L$4,MIN(L$4,$F38))-$E38)/7)+1-MAX(0,ROUNDUP((L$3-$E38)/7,0)))),IF($G38=101,(AND(EOMONTH(L$3,0)&gt;=MAX(L$3,$E38),EOMONTH(L$3,0)&lt;=IF($F38="",L$4,MIN(L$4,$F38)))*1+AND(EOMONTH(L$4,0)&lt;&gt;EOMONTH(L$3,0),EOMONTH(L$4,0)&gt;=MAX(L$3,$E38),EOMONTH(L$4,0)&lt;=IF($F38="",L$4,MIN(L$4,$F38)))*1),IF($G38=102,(AND(WORKDAY(EOMONTH(L$3,0)+1,-3)&gt;=MAX(L$3,$E38),WORKDAY(EOMONTH(L$3,0)+1,-3)&lt;=IF($F38="",L$4,MIN(L$4,$F38)))*1+AND(WORKDAY(EOMONTH(L$4,0)+1,-3)&lt;&gt;WORKDAY(EOMONTH(L$3,0)+1,-3),WORKDAY(EOMONTH(L$4,0)+1,-3)&gt;=MAX(L$3,$E38),WORKDAY(EOMONTH(L$4,0)+1,-3)&lt;=IF($F38="",L$4,MIN(L$4,$F38)))*1),IF(AND(IF(EDATE($E38,MAX(0,ROUNDUP(((YEAR(L$3)-YEAR($E38))*12+MONTH(L$3)-MONTH($E38))/$G38,0)*$G38))&lt;L$3,EDATE($E38,MAX(0,ROUNDUP(((YEAR(L$3)-YEAR($E38))*12+MONTH(L$3)-MONTH($E38))/$G38,0)*$G38)+$G38),EDATE($E38,MAX(0,ROUNDUP(((YEAR(L$3)-YEAR($E38))*12+MONTH(L$3)-MONTH($E38))/$G38,0)*$G38)))&gt;=L$3,IF(EDATE($E38,MAX(0,ROUNDUP(((YEAR(L$3)-YEAR($E38))*12+MONTH(L$3)-MONTH($E38))/$G38,0)*$G38))&lt;L$3,EDATE($E38,MAX(0,ROUNDUP(((YEAR(L$3)-YEAR($E38))*12+MONTH(L$3)-MONTH($E38))/$G38,0)*$G38)+$G38),EDATE($E38,MAX(0,ROUNDUP(((YEAR(L$3)-YEAR($E38))*12+MONTH(L$3)-MONTH($E38))/$G38,0)*$G38)))&lt;=IF($F38="",L$4,MIN(L$4,$F38))),1,0)))))</f>
        <v>0</v>
      </c>
      <c r="M38" s="25" t="n">
        <f aca="false">IF(OR($C38="",$C38=0,$E38="",$B38="",$G38=-2),0,$C38*IF($G38=0,IF(IF($F38="",M$4,MIN(M$4,$F38))&lt;$E38,0,MAX(0,INT((IF($F38="",M$4,MIN(M$4,$F38))-$E38)/7)+1-MAX(0,ROUNDUP((M$3-$E38)/7,0)))),IF($G38=101,(AND(EOMONTH(M$3,0)&gt;=MAX(M$3,$E38),EOMONTH(M$3,0)&lt;=IF($F38="",M$4,MIN(M$4,$F38)))*1+AND(EOMONTH(M$4,0)&lt;&gt;EOMONTH(M$3,0),EOMONTH(M$4,0)&gt;=MAX(M$3,$E38),EOMONTH(M$4,0)&lt;=IF($F38="",M$4,MIN(M$4,$F38)))*1),IF($G38=102,(AND(WORKDAY(EOMONTH(M$3,0)+1,-3)&gt;=MAX(M$3,$E38),WORKDAY(EOMONTH(M$3,0)+1,-3)&lt;=IF($F38="",M$4,MIN(M$4,$F38)))*1+AND(WORKDAY(EOMONTH(M$4,0)+1,-3)&lt;&gt;WORKDAY(EOMONTH(M$3,0)+1,-3),WORKDAY(EOMONTH(M$4,0)+1,-3)&gt;=MAX(M$3,$E38),WORKDAY(EOMONTH(M$4,0)+1,-3)&lt;=IF($F38="",M$4,MIN(M$4,$F38)))*1),IF(AND(IF(EDATE($E38,MAX(0,ROUNDUP(((YEAR(M$3)-YEAR($E38))*12+MONTH(M$3)-MONTH($E38))/$G38,0)*$G38))&lt;M$3,EDATE($E38,MAX(0,ROUNDUP(((YEAR(M$3)-YEAR($E38))*12+MONTH(M$3)-MONTH($E38))/$G38,0)*$G38)+$G38),EDATE($E38,MAX(0,ROUNDUP(((YEAR(M$3)-YEAR($E38))*12+MONTH(M$3)-MONTH($E38))/$G38,0)*$G38)))&gt;=M$3,IF(EDATE($E38,MAX(0,ROUNDUP(((YEAR(M$3)-YEAR($E38))*12+MONTH(M$3)-MONTH($E38))/$G38,0)*$G38))&lt;M$3,EDATE($E38,MAX(0,ROUNDUP(((YEAR(M$3)-YEAR($E38))*12+MONTH(M$3)-MONTH($E38))/$G38,0)*$G38)+$G38),EDATE($E38,MAX(0,ROUNDUP(((YEAR(M$3)-YEAR($E38))*12+MONTH(M$3)-MONTH($E38))/$G38,0)*$G38)))&lt;=IF($F38="",M$4,MIN(M$4,$F38))),1,0)))))</f>
        <v>0</v>
      </c>
      <c r="N38" s="25" t="n">
        <f aca="false">IF(OR($C38="",$C38=0,$E38="",$B38="",$G38=-2),0,$C38*IF($G38=0,IF(IF($F38="",N$4,MIN(N$4,$F38))&lt;$E38,0,MAX(0,INT((IF($F38="",N$4,MIN(N$4,$F38))-$E38)/7)+1-MAX(0,ROUNDUP((N$3-$E38)/7,0)))),IF($G38=101,(AND(EOMONTH(N$3,0)&gt;=MAX(N$3,$E38),EOMONTH(N$3,0)&lt;=IF($F38="",N$4,MIN(N$4,$F38)))*1+AND(EOMONTH(N$4,0)&lt;&gt;EOMONTH(N$3,0),EOMONTH(N$4,0)&gt;=MAX(N$3,$E38),EOMONTH(N$4,0)&lt;=IF($F38="",N$4,MIN(N$4,$F38)))*1),IF($G38=102,(AND(WORKDAY(EOMONTH(N$3,0)+1,-3)&gt;=MAX(N$3,$E38),WORKDAY(EOMONTH(N$3,0)+1,-3)&lt;=IF($F38="",N$4,MIN(N$4,$F38)))*1+AND(WORKDAY(EOMONTH(N$4,0)+1,-3)&lt;&gt;WORKDAY(EOMONTH(N$3,0)+1,-3),WORKDAY(EOMONTH(N$4,0)+1,-3)&gt;=MAX(N$3,$E38),WORKDAY(EOMONTH(N$4,0)+1,-3)&lt;=IF($F38="",N$4,MIN(N$4,$F38)))*1),IF(AND(IF(EDATE($E38,MAX(0,ROUNDUP(((YEAR(N$3)-YEAR($E38))*12+MONTH(N$3)-MONTH($E38))/$G38,0)*$G38))&lt;N$3,EDATE($E38,MAX(0,ROUNDUP(((YEAR(N$3)-YEAR($E38))*12+MONTH(N$3)-MONTH($E38))/$G38,0)*$G38)+$G38),EDATE($E38,MAX(0,ROUNDUP(((YEAR(N$3)-YEAR($E38))*12+MONTH(N$3)-MONTH($E38))/$G38,0)*$G38)))&gt;=N$3,IF(EDATE($E38,MAX(0,ROUNDUP(((YEAR(N$3)-YEAR($E38))*12+MONTH(N$3)-MONTH($E38))/$G38,0)*$G38))&lt;N$3,EDATE($E38,MAX(0,ROUNDUP(((YEAR(N$3)-YEAR($E38))*12+MONTH(N$3)-MONTH($E38))/$G38,0)*$G38)+$G38),EDATE($E38,MAX(0,ROUNDUP(((YEAR(N$3)-YEAR($E38))*12+MONTH(N$3)-MONTH($E38))/$G38,0)*$G38)))&lt;=IF($F38="",N$4,MIN(N$4,$F38))),1,0)))))</f>
        <v>0</v>
      </c>
      <c r="O38" s="25" t="n">
        <f aca="false">IF(OR($C38="",$C38=0,$E38="",$B38="",$G38=-2),0,$C38*IF($G38=0,IF(IF($F38="",O$4,MIN(O$4,$F38))&lt;$E38,0,MAX(0,INT((IF($F38="",O$4,MIN(O$4,$F38))-$E38)/7)+1-MAX(0,ROUNDUP((O$3-$E38)/7,0)))),IF($G38=101,(AND(EOMONTH(O$3,0)&gt;=MAX(O$3,$E38),EOMONTH(O$3,0)&lt;=IF($F38="",O$4,MIN(O$4,$F38)))*1+AND(EOMONTH(O$4,0)&lt;&gt;EOMONTH(O$3,0),EOMONTH(O$4,0)&gt;=MAX(O$3,$E38),EOMONTH(O$4,0)&lt;=IF($F38="",O$4,MIN(O$4,$F38)))*1),IF($G38=102,(AND(WORKDAY(EOMONTH(O$3,0)+1,-3)&gt;=MAX(O$3,$E38),WORKDAY(EOMONTH(O$3,0)+1,-3)&lt;=IF($F38="",O$4,MIN(O$4,$F38)))*1+AND(WORKDAY(EOMONTH(O$4,0)+1,-3)&lt;&gt;WORKDAY(EOMONTH(O$3,0)+1,-3),WORKDAY(EOMONTH(O$4,0)+1,-3)&gt;=MAX(O$3,$E38),WORKDAY(EOMONTH(O$4,0)+1,-3)&lt;=IF($F38="",O$4,MIN(O$4,$F38)))*1),IF(AND(IF(EDATE($E38,MAX(0,ROUNDUP(((YEAR(O$3)-YEAR($E38))*12+MONTH(O$3)-MONTH($E38))/$G38,0)*$G38))&lt;O$3,EDATE($E38,MAX(0,ROUNDUP(((YEAR(O$3)-YEAR($E38))*12+MONTH(O$3)-MONTH($E38))/$G38,0)*$G38)+$G38),EDATE($E38,MAX(0,ROUNDUP(((YEAR(O$3)-YEAR($E38))*12+MONTH(O$3)-MONTH($E38))/$G38,0)*$G38)))&gt;=O$3,IF(EDATE($E38,MAX(0,ROUNDUP(((YEAR(O$3)-YEAR($E38))*12+MONTH(O$3)-MONTH($E38))/$G38,0)*$G38))&lt;O$3,EDATE($E38,MAX(0,ROUNDUP(((YEAR(O$3)-YEAR($E38))*12+MONTH(O$3)-MONTH($E38))/$G38,0)*$G38)+$G38),EDATE($E38,MAX(0,ROUNDUP(((YEAR(O$3)-YEAR($E38))*12+MONTH(O$3)-MONTH($E38))/$G38,0)*$G38)))&lt;=IF($F38="",O$4,MIN(O$4,$F38))),1,0)))))</f>
        <v>0</v>
      </c>
      <c r="P38" s="25" t="n">
        <f aca="false">IF(OR($C38="",$C38=0,$E38="",$B38="",$G38=-2),0,$C38*IF($G38=0,IF(IF($F38="",P$4,MIN(P$4,$F38))&lt;$E38,0,MAX(0,INT((IF($F38="",P$4,MIN(P$4,$F38))-$E38)/7)+1-MAX(0,ROUNDUP((P$3-$E38)/7,0)))),IF($G38=101,(AND(EOMONTH(P$3,0)&gt;=MAX(P$3,$E38),EOMONTH(P$3,0)&lt;=IF($F38="",P$4,MIN(P$4,$F38)))*1+AND(EOMONTH(P$4,0)&lt;&gt;EOMONTH(P$3,0),EOMONTH(P$4,0)&gt;=MAX(P$3,$E38),EOMONTH(P$4,0)&lt;=IF($F38="",P$4,MIN(P$4,$F38)))*1),IF($G38=102,(AND(WORKDAY(EOMONTH(P$3,0)+1,-3)&gt;=MAX(P$3,$E38),WORKDAY(EOMONTH(P$3,0)+1,-3)&lt;=IF($F38="",P$4,MIN(P$4,$F38)))*1+AND(WORKDAY(EOMONTH(P$4,0)+1,-3)&lt;&gt;WORKDAY(EOMONTH(P$3,0)+1,-3),WORKDAY(EOMONTH(P$4,0)+1,-3)&gt;=MAX(P$3,$E38),WORKDAY(EOMONTH(P$4,0)+1,-3)&lt;=IF($F38="",P$4,MIN(P$4,$F38)))*1),IF(AND(IF(EDATE($E38,MAX(0,ROUNDUP(((YEAR(P$3)-YEAR($E38))*12+MONTH(P$3)-MONTH($E38))/$G38,0)*$G38))&lt;P$3,EDATE($E38,MAX(0,ROUNDUP(((YEAR(P$3)-YEAR($E38))*12+MONTH(P$3)-MONTH($E38))/$G38,0)*$G38)+$G38),EDATE($E38,MAX(0,ROUNDUP(((YEAR(P$3)-YEAR($E38))*12+MONTH(P$3)-MONTH($E38))/$G38,0)*$G38)))&gt;=P$3,IF(EDATE($E38,MAX(0,ROUNDUP(((YEAR(P$3)-YEAR($E38))*12+MONTH(P$3)-MONTH($E38))/$G38,0)*$G38))&lt;P$3,EDATE($E38,MAX(0,ROUNDUP(((YEAR(P$3)-YEAR($E38))*12+MONTH(P$3)-MONTH($E38))/$G38,0)*$G38)+$G38),EDATE($E38,MAX(0,ROUNDUP(((YEAR(P$3)-YEAR($E38))*12+MONTH(P$3)-MONTH($E38))/$G38,0)*$G38)))&lt;=IF($F38="",P$4,MIN(P$4,$F38))),1,0)))))</f>
        <v>0</v>
      </c>
      <c r="Q38" s="25" t="n">
        <f aca="false">IF(OR($C38="",$C38=0,$E38="",$B38="",$G38=-2),0,$C38*IF($G38=0,IF(IF($F38="",Q$4,MIN(Q$4,$F38))&lt;$E38,0,MAX(0,INT((IF($F38="",Q$4,MIN(Q$4,$F38))-$E38)/7)+1-MAX(0,ROUNDUP((Q$3-$E38)/7,0)))),IF($G38=101,(AND(EOMONTH(Q$3,0)&gt;=MAX(Q$3,$E38),EOMONTH(Q$3,0)&lt;=IF($F38="",Q$4,MIN(Q$4,$F38)))*1+AND(EOMONTH(Q$4,0)&lt;&gt;EOMONTH(Q$3,0),EOMONTH(Q$4,0)&gt;=MAX(Q$3,$E38),EOMONTH(Q$4,0)&lt;=IF($F38="",Q$4,MIN(Q$4,$F38)))*1),IF($G38=102,(AND(WORKDAY(EOMONTH(Q$3,0)+1,-3)&gt;=MAX(Q$3,$E38),WORKDAY(EOMONTH(Q$3,0)+1,-3)&lt;=IF($F38="",Q$4,MIN(Q$4,$F38)))*1+AND(WORKDAY(EOMONTH(Q$4,0)+1,-3)&lt;&gt;WORKDAY(EOMONTH(Q$3,0)+1,-3),WORKDAY(EOMONTH(Q$4,0)+1,-3)&gt;=MAX(Q$3,$E38),WORKDAY(EOMONTH(Q$4,0)+1,-3)&lt;=IF($F38="",Q$4,MIN(Q$4,$F38)))*1),IF(AND(IF(EDATE($E38,MAX(0,ROUNDUP(((YEAR(Q$3)-YEAR($E38))*12+MONTH(Q$3)-MONTH($E38))/$G38,0)*$G38))&lt;Q$3,EDATE($E38,MAX(0,ROUNDUP(((YEAR(Q$3)-YEAR($E38))*12+MONTH(Q$3)-MONTH($E38))/$G38,0)*$G38)+$G38),EDATE($E38,MAX(0,ROUNDUP(((YEAR(Q$3)-YEAR($E38))*12+MONTH(Q$3)-MONTH($E38))/$G38,0)*$G38)))&gt;=Q$3,IF(EDATE($E38,MAX(0,ROUNDUP(((YEAR(Q$3)-YEAR($E38))*12+MONTH(Q$3)-MONTH($E38))/$G38,0)*$G38))&lt;Q$3,EDATE($E38,MAX(0,ROUNDUP(((YEAR(Q$3)-YEAR($E38))*12+MONTH(Q$3)-MONTH($E38))/$G38,0)*$G38)+$G38),EDATE($E38,MAX(0,ROUNDUP(((YEAR(Q$3)-YEAR($E38))*12+MONTH(Q$3)-MONTH($E38))/$G38,0)*$G38)))&lt;=IF($F38="",Q$4,MIN(Q$4,$F38))),1,0)))))</f>
        <v>0</v>
      </c>
      <c r="R38" s="25" t="n">
        <f aca="false">IF(OR($C38="",$C38=0,$E38="",$B38="",$G38=-2),0,$C38*IF($G38=0,IF(IF($F38="",R$4,MIN(R$4,$F38))&lt;$E38,0,MAX(0,INT((IF($F38="",R$4,MIN(R$4,$F38))-$E38)/7)+1-MAX(0,ROUNDUP((R$3-$E38)/7,0)))),IF($G38=101,(AND(EOMONTH(R$3,0)&gt;=MAX(R$3,$E38),EOMONTH(R$3,0)&lt;=IF($F38="",R$4,MIN(R$4,$F38)))*1+AND(EOMONTH(R$4,0)&lt;&gt;EOMONTH(R$3,0),EOMONTH(R$4,0)&gt;=MAX(R$3,$E38),EOMONTH(R$4,0)&lt;=IF($F38="",R$4,MIN(R$4,$F38)))*1),IF($G38=102,(AND(WORKDAY(EOMONTH(R$3,0)+1,-3)&gt;=MAX(R$3,$E38),WORKDAY(EOMONTH(R$3,0)+1,-3)&lt;=IF($F38="",R$4,MIN(R$4,$F38)))*1+AND(WORKDAY(EOMONTH(R$4,0)+1,-3)&lt;&gt;WORKDAY(EOMONTH(R$3,0)+1,-3),WORKDAY(EOMONTH(R$4,0)+1,-3)&gt;=MAX(R$3,$E38),WORKDAY(EOMONTH(R$4,0)+1,-3)&lt;=IF($F38="",R$4,MIN(R$4,$F38)))*1),IF(AND(IF(EDATE($E38,MAX(0,ROUNDUP(((YEAR(R$3)-YEAR($E38))*12+MONTH(R$3)-MONTH($E38))/$G38,0)*$G38))&lt;R$3,EDATE($E38,MAX(0,ROUNDUP(((YEAR(R$3)-YEAR($E38))*12+MONTH(R$3)-MONTH($E38))/$G38,0)*$G38)+$G38),EDATE($E38,MAX(0,ROUNDUP(((YEAR(R$3)-YEAR($E38))*12+MONTH(R$3)-MONTH($E38))/$G38,0)*$G38)))&gt;=R$3,IF(EDATE($E38,MAX(0,ROUNDUP(((YEAR(R$3)-YEAR($E38))*12+MONTH(R$3)-MONTH($E38))/$G38,0)*$G38))&lt;R$3,EDATE($E38,MAX(0,ROUNDUP(((YEAR(R$3)-YEAR($E38))*12+MONTH(R$3)-MONTH($E38))/$G38,0)*$G38)+$G38),EDATE($E38,MAX(0,ROUNDUP(((YEAR(R$3)-YEAR($E38))*12+MONTH(R$3)-MONTH($E38))/$G38,0)*$G38)))&lt;=IF($F38="",R$4,MIN(R$4,$F38))),1,0)))))</f>
        <v>0</v>
      </c>
      <c r="S38" s="25" t="n">
        <f aca="false">IF(OR($C38="",$C38=0,$E38="",$B38="",$G38=-2),0,$C38*IF($G38=0,IF(IF($F38="",S$4,MIN(S$4,$F38))&lt;$E38,0,MAX(0,INT((IF($F38="",S$4,MIN(S$4,$F38))-$E38)/7)+1-MAX(0,ROUNDUP((S$3-$E38)/7,0)))),IF($G38=101,(AND(EOMONTH(S$3,0)&gt;=MAX(S$3,$E38),EOMONTH(S$3,0)&lt;=IF($F38="",S$4,MIN(S$4,$F38)))*1+AND(EOMONTH(S$4,0)&lt;&gt;EOMONTH(S$3,0),EOMONTH(S$4,0)&gt;=MAX(S$3,$E38),EOMONTH(S$4,0)&lt;=IF($F38="",S$4,MIN(S$4,$F38)))*1),IF($G38=102,(AND(WORKDAY(EOMONTH(S$3,0)+1,-3)&gt;=MAX(S$3,$E38),WORKDAY(EOMONTH(S$3,0)+1,-3)&lt;=IF($F38="",S$4,MIN(S$4,$F38)))*1+AND(WORKDAY(EOMONTH(S$4,0)+1,-3)&lt;&gt;WORKDAY(EOMONTH(S$3,0)+1,-3),WORKDAY(EOMONTH(S$4,0)+1,-3)&gt;=MAX(S$3,$E38),WORKDAY(EOMONTH(S$4,0)+1,-3)&lt;=IF($F38="",S$4,MIN(S$4,$F38)))*1),IF(AND(IF(EDATE($E38,MAX(0,ROUNDUP(((YEAR(S$3)-YEAR($E38))*12+MONTH(S$3)-MONTH($E38))/$G38,0)*$G38))&lt;S$3,EDATE($E38,MAX(0,ROUNDUP(((YEAR(S$3)-YEAR($E38))*12+MONTH(S$3)-MONTH($E38))/$G38,0)*$G38)+$G38),EDATE($E38,MAX(0,ROUNDUP(((YEAR(S$3)-YEAR($E38))*12+MONTH(S$3)-MONTH($E38))/$G38,0)*$G38)))&gt;=S$3,IF(EDATE($E38,MAX(0,ROUNDUP(((YEAR(S$3)-YEAR($E38))*12+MONTH(S$3)-MONTH($E38))/$G38,0)*$G38))&lt;S$3,EDATE($E38,MAX(0,ROUNDUP(((YEAR(S$3)-YEAR($E38))*12+MONTH(S$3)-MONTH($E38))/$G38,0)*$G38)+$G38),EDATE($E38,MAX(0,ROUNDUP(((YEAR(S$3)-YEAR($E38))*12+MONTH(S$3)-MONTH($E38))/$G38,0)*$G38)))&lt;=IF($F38="",S$4,MIN(S$4,$F38))),1,0)))))</f>
        <v>0</v>
      </c>
      <c r="T38" s="25" t="n">
        <f aca="false">IF(OR($C38="",$C38=0,$E38="",$B38="",$G38=-2),0,$C38*IF($G38=0,IF(IF($F38="",T$4,MIN(T$4,$F38))&lt;$E38,0,MAX(0,INT((IF($F38="",T$4,MIN(T$4,$F38))-$E38)/7)+1-MAX(0,ROUNDUP((T$3-$E38)/7,0)))),IF($G38=101,(AND(EOMONTH(T$3,0)&gt;=MAX(T$3,$E38),EOMONTH(T$3,0)&lt;=IF($F38="",T$4,MIN(T$4,$F38)))*1+AND(EOMONTH(T$4,0)&lt;&gt;EOMONTH(T$3,0),EOMONTH(T$4,0)&gt;=MAX(T$3,$E38),EOMONTH(T$4,0)&lt;=IF($F38="",T$4,MIN(T$4,$F38)))*1),IF($G38=102,(AND(WORKDAY(EOMONTH(T$3,0)+1,-3)&gt;=MAX(T$3,$E38),WORKDAY(EOMONTH(T$3,0)+1,-3)&lt;=IF($F38="",T$4,MIN(T$4,$F38)))*1+AND(WORKDAY(EOMONTH(T$4,0)+1,-3)&lt;&gt;WORKDAY(EOMONTH(T$3,0)+1,-3),WORKDAY(EOMONTH(T$4,0)+1,-3)&gt;=MAX(T$3,$E38),WORKDAY(EOMONTH(T$4,0)+1,-3)&lt;=IF($F38="",T$4,MIN(T$4,$F38)))*1),IF(AND(IF(EDATE($E38,MAX(0,ROUNDUP(((YEAR(T$3)-YEAR($E38))*12+MONTH(T$3)-MONTH($E38))/$G38,0)*$G38))&lt;T$3,EDATE($E38,MAX(0,ROUNDUP(((YEAR(T$3)-YEAR($E38))*12+MONTH(T$3)-MONTH($E38))/$G38,0)*$G38)+$G38),EDATE($E38,MAX(0,ROUNDUP(((YEAR(T$3)-YEAR($E38))*12+MONTH(T$3)-MONTH($E38))/$G38,0)*$G38)))&gt;=T$3,IF(EDATE($E38,MAX(0,ROUNDUP(((YEAR(T$3)-YEAR($E38))*12+MONTH(T$3)-MONTH($E38))/$G38,0)*$G38))&lt;T$3,EDATE($E38,MAX(0,ROUNDUP(((YEAR(T$3)-YEAR($E38))*12+MONTH(T$3)-MONTH($E38))/$G38,0)*$G38)+$G38),EDATE($E38,MAX(0,ROUNDUP(((YEAR(T$3)-YEAR($E38))*12+MONTH(T$3)-MONTH($E38))/$G38,0)*$G38)))&lt;=IF($F38="",T$4,MIN(T$4,$F38))),1,0)))))</f>
        <v>0</v>
      </c>
      <c r="U38" s="25" t="n">
        <f aca="false">IF(OR($C38="",$C38=0,$E38="",$B38="",$G38=-2),0,$C38*IF($G38=0,IF(IF($F38="",U$4,MIN(U$4,$F38))&lt;$E38,0,MAX(0,INT((IF($F38="",U$4,MIN(U$4,$F38))-$E38)/7)+1-MAX(0,ROUNDUP((U$3-$E38)/7,0)))),IF($G38=101,(AND(EOMONTH(U$3,0)&gt;=MAX(U$3,$E38),EOMONTH(U$3,0)&lt;=IF($F38="",U$4,MIN(U$4,$F38)))*1+AND(EOMONTH(U$4,0)&lt;&gt;EOMONTH(U$3,0),EOMONTH(U$4,0)&gt;=MAX(U$3,$E38),EOMONTH(U$4,0)&lt;=IF($F38="",U$4,MIN(U$4,$F38)))*1),IF($G38=102,(AND(WORKDAY(EOMONTH(U$3,0)+1,-3)&gt;=MAX(U$3,$E38),WORKDAY(EOMONTH(U$3,0)+1,-3)&lt;=IF($F38="",U$4,MIN(U$4,$F38)))*1+AND(WORKDAY(EOMONTH(U$4,0)+1,-3)&lt;&gt;WORKDAY(EOMONTH(U$3,0)+1,-3),WORKDAY(EOMONTH(U$4,0)+1,-3)&gt;=MAX(U$3,$E38),WORKDAY(EOMONTH(U$4,0)+1,-3)&lt;=IF($F38="",U$4,MIN(U$4,$F38)))*1),IF(AND(IF(EDATE($E38,MAX(0,ROUNDUP(((YEAR(U$3)-YEAR($E38))*12+MONTH(U$3)-MONTH($E38))/$G38,0)*$G38))&lt;U$3,EDATE($E38,MAX(0,ROUNDUP(((YEAR(U$3)-YEAR($E38))*12+MONTH(U$3)-MONTH($E38))/$G38,0)*$G38)+$G38),EDATE($E38,MAX(0,ROUNDUP(((YEAR(U$3)-YEAR($E38))*12+MONTH(U$3)-MONTH($E38))/$G38,0)*$G38)))&gt;=U$3,IF(EDATE($E38,MAX(0,ROUNDUP(((YEAR(U$3)-YEAR($E38))*12+MONTH(U$3)-MONTH($E38))/$G38,0)*$G38))&lt;U$3,EDATE($E38,MAX(0,ROUNDUP(((YEAR(U$3)-YEAR($E38))*12+MONTH(U$3)-MONTH($E38))/$G38,0)*$G38)+$G38),EDATE($E38,MAX(0,ROUNDUP(((YEAR(U$3)-YEAR($E38))*12+MONTH(U$3)-MONTH($E38))/$G38,0)*$G38)))&lt;=IF($F38="",U$4,MIN(U$4,$F38))),1,0)))))</f>
        <v>0</v>
      </c>
      <c r="V38" s="25" t="n">
        <f aca="false">IF(OR($C38="",$C38=0,$E38="",$B38="",$G38=-2),0,$C38*IF($G38=0,IF(IF($F38="",V$4,MIN(V$4,$F38))&lt;$E38,0,MAX(0,INT((IF($F38="",V$4,MIN(V$4,$F38))-$E38)/7)+1-MAX(0,ROUNDUP((V$3-$E38)/7,0)))),IF($G38=101,(AND(EOMONTH(V$3,0)&gt;=MAX(V$3,$E38),EOMONTH(V$3,0)&lt;=IF($F38="",V$4,MIN(V$4,$F38)))*1+AND(EOMONTH(V$4,0)&lt;&gt;EOMONTH(V$3,0),EOMONTH(V$4,0)&gt;=MAX(V$3,$E38),EOMONTH(V$4,0)&lt;=IF($F38="",V$4,MIN(V$4,$F38)))*1),IF($G38=102,(AND(WORKDAY(EOMONTH(V$3,0)+1,-3)&gt;=MAX(V$3,$E38),WORKDAY(EOMONTH(V$3,0)+1,-3)&lt;=IF($F38="",V$4,MIN(V$4,$F38)))*1+AND(WORKDAY(EOMONTH(V$4,0)+1,-3)&lt;&gt;WORKDAY(EOMONTH(V$3,0)+1,-3),WORKDAY(EOMONTH(V$4,0)+1,-3)&gt;=MAX(V$3,$E38),WORKDAY(EOMONTH(V$4,0)+1,-3)&lt;=IF($F38="",V$4,MIN(V$4,$F38)))*1),IF(AND(IF(EDATE($E38,MAX(0,ROUNDUP(((YEAR(V$3)-YEAR($E38))*12+MONTH(V$3)-MONTH($E38))/$G38,0)*$G38))&lt;V$3,EDATE($E38,MAX(0,ROUNDUP(((YEAR(V$3)-YEAR($E38))*12+MONTH(V$3)-MONTH($E38))/$G38,0)*$G38)+$G38),EDATE($E38,MAX(0,ROUNDUP(((YEAR(V$3)-YEAR($E38))*12+MONTH(V$3)-MONTH($E38))/$G38,0)*$G38)))&gt;=V$3,IF(EDATE($E38,MAX(0,ROUNDUP(((YEAR(V$3)-YEAR($E38))*12+MONTH(V$3)-MONTH($E38))/$G38,0)*$G38))&lt;V$3,EDATE($E38,MAX(0,ROUNDUP(((YEAR(V$3)-YEAR($E38))*12+MONTH(V$3)-MONTH($E38))/$G38,0)*$G38)+$G38),EDATE($E38,MAX(0,ROUNDUP(((YEAR(V$3)-YEAR($E38))*12+MONTH(V$3)-MONTH($E38))/$G38,0)*$G38)))&lt;=IF($F38="",V$4,MIN(V$4,$F38))),1,0)))))</f>
        <v>0</v>
      </c>
      <c r="W38" s="25" t="n">
        <f aca="false">IF(OR($C38="",$C38=0,$E38="",$B38="",$G38=-2),0,$C38*IF($G38=0,IF(IF($F38="",W$4,MIN(W$4,$F38))&lt;$E38,0,MAX(0,INT((IF($F38="",W$4,MIN(W$4,$F38))-$E38)/7)+1-MAX(0,ROUNDUP((W$3-$E38)/7,0)))),IF($G38=101,(AND(EOMONTH(W$3,0)&gt;=MAX(W$3,$E38),EOMONTH(W$3,0)&lt;=IF($F38="",W$4,MIN(W$4,$F38)))*1+AND(EOMONTH(W$4,0)&lt;&gt;EOMONTH(W$3,0),EOMONTH(W$4,0)&gt;=MAX(W$3,$E38),EOMONTH(W$4,0)&lt;=IF($F38="",W$4,MIN(W$4,$F38)))*1),IF($G38=102,(AND(WORKDAY(EOMONTH(W$3,0)+1,-3)&gt;=MAX(W$3,$E38),WORKDAY(EOMONTH(W$3,0)+1,-3)&lt;=IF($F38="",W$4,MIN(W$4,$F38)))*1+AND(WORKDAY(EOMONTH(W$4,0)+1,-3)&lt;&gt;WORKDAY(EOMONTH(W$3,0)+1,-3),WORKDAY(EOMONTH(W$4,0)+1,-3)&gt;=MAX(W$3,$E38),WORKDAY(EOMONTH(W$4,0)+1,-3)&lt;=IF($F38="",W$4,MIN(W$4,$F38)))*1),IF(AND(IF(EDATE($E38,MAX(0,ROUNDUP(((YEAR(W$3)-YEAR($E38))*12+MONTH(W$3)-MONTH($E38))/$G38,0)*$G38))&lt;W$3,EDATE($E38,MAX(0,ROUNDUP(((YEAR(W$3)-YEAR($E38))*12+MONTH(W$3)-MONTH($E38))/$G38,0)*$G38)+$G38),EDATE($E38,MAX(0,ROUNDUP(((YEAR(W$3)-YEAR($E38))*12+MONTH(W$3)-MONTH($E38))/$G38,0)*$G38)))&gt;=W$3,IF(EDATE($E38,MAX(0,ROUNDUP(((YEAR(W$3)-YEAR($E38))*12+MONTH(W$3)-MONTH($E38))/$G38,0)*$G38))&lt;W$3,EDATE($E38,MAX(0,ROUNDUP(((YEAR(W$3)-YEAR($E38))*12+MONTH(W$3)-MONTH($E38))/$G38,0)*$G38)+$G38),EDATE($E38,MAX(0,ROUNDUP(((YEAR(W$3)-YEAR($E38))*12+MONTH(W$3)-MONTH($E38))/$G38,0)*$G38)))&lt;=IF($F38="",W$4,MIN(W$4,$F38))),1,0)))))</f>
        <v>0</v>
      </c>
      <c r="X38" s="25" t="n">
        <f aca="false">IF(OR($C38="",$C38=0,$E38="",$B38="",$G38=-2),0,$C38*IF($G38=0,IF(IF($F38="",X$4,MIN(X$4,$F38))&lt;$E38,0,MAX(0,INT((IF($F38="",X$4,MIN(X$4,$F38))-$E38)/7)+1-MAX(0,ROUNDUP((X$3-$E38)/7,0)))),IF($G38=101,(AND(EOMONTH(X$3,0)&gt;=MAX(X$3,$E38),EOMONTH(X$3,0)&lt;=IF($F38="",X$4,MIN(X$4,$F38)))*1+AND(EOMONTH(X$4,0)&lt;&gt;EOMONTH(X$3,0),EOMONTH(X$4,0)&gt;=MAX(X$3,$E38),EOMONTH(X$4,0)&lt;=IF($F38="",X$4,MIN(X$4,$F38)))*1),IF($G38=102,(AND(WORKDAY(EOMONTH(X$3,0)+1,-3)&gt;=MAX(X$3,$E38),WORKDAY(EOMONTH(X$3,0)+1,-3)&lt;=IF($F38="",X$4,MIN(X$4,$F38)))*1+AND(WORKDAY(EOMONTH(X$4,0)+1,-3)&lt;&gt;WORKDAY(EOMONTH(X$3,0)+1,-3),WORKDAY(EOMONTH(X$4,0)+1,-3)&gt;=MAX(X$3,$E38),WORKDAY(EOMONTH(X$4,0)+1,-3)&lt;=IF($F38="",X$4,MIN(X$4,$F38)))*1),IF(AND(IF(EDATE($E38,MAX(0,ROUNDUP(((YEAR(X$3)-YEAR($E38))*12+MONTH(X$3)-MONTH($E38))/$G38,0)*$G38))&lt;X$3,EDATE($E38,MAX(0,ROUNDUP(((YEAR(X$3)-YEAR($E38))*12+MONTH(X$3)-MONTH($E38))/$G38,0)*$G38)+$G38),EDATE($E38,MAX(0,ROUNDUP(((YEAR(X$3)-YEAR($E38))*12+MONTH(X$3)-MONTH($E38))/$G38,0)*$G38)))&gt;=X$3,IF(EDATE($E38,MAX(0,ROUNDUP(((YEAR(X$3)-YEAR($E38))*12+MONTH(X$3)-MONTH($E38))/$G38,0)*$G38))&lt;X$3,EDATE($E38,MAX(0,ROUNDUP(((YEAR(X$3)-YEAR($E38))*12+MONTH(X$3)-MONTH($E38))/$G38,0)*$G38)+$G38),EDATE($E38,MAX(0,ROUNDUP(((YEAR(X$3)-YEAR($E38))*12+MONTH(X$3)-MONTH($E38))/$G38,0)*$G38)))&lt;=IF($F38="",X$4,MIN(X$4,$F38))),1,0)))))</f>
        <v>0</v>
      </c>
      <c r="Y38" s="25" t="n">
        <f aca="false">IF(OR($C38="",$C38=0,$E38="",$B38="",$G38=-2),0,$C38*IF($G38=0,IF(IF($F38="",Y$4,MIN(Y$4,$F38))&lt;$E38,0,MAX(0,INT((IF($F38="",Y$4,MIN(Y$4,$F38))-$E38)/7)+1-MAX(0,ROUNDUP((Y$3-$E38)/7,0)))),IF($G38=101,(AND(EOMONTH(Y$3,0)&gt;=MAX(Y$3,$E38),EOMONTH(Y$3,0)&lt;=IF($F38="",Y$4,MIN(Y$4,$F38)))*1+AND(EOMONTH(Y$4,0)&lt;&gt;EOMONTH(Y$3,0),EOMONTH(Y$4,0)&gt;=MAX(Y$3,$E38),EOMONTH(Y$4,0)&lt;=IF($F38="",Y$4,MIN(Y$4,$F38)))*1),IF($G38=102,(AND(WORKDAY(EOMONTH(Y$3,0)+1,-3)&gt;=MAX(Y$3,$E38),WORKDAY(EOMONTH(Y$3,0)+1,-3)&lt;=IF($F38="",Y$4,MIN(Y$4,$F38)))*1+AND(WORKDAY(EOMONTH(Y$4,0)+1,-3)&lt;&gt;WORKDAY(EOMONTH(Y$3,0)+1,-3),WORKDAY(EOMONTH(Y$4,0)+1,-3)&gt;=MAX(Y$3,$E38),WORKDAY(EOMONTH(Y$4,0)+1,-3)&lt;=IF($F38="",Y$4,MIN(Y$4,$F38)))*1),IF(AND(IF(EDATE($E38,MAX(0,ROUNDUP(((YEAR(Y$3)-YEAR($E38))*12+MONTH(Y$3)-MONTH($E38))/$G38,0)*$G38))&lt;Y$3,EDATE($E38,MAX(0,ROUNDUP(((YEAR(Y$3)-YEAR($E38))*12+MONTH(Y$3)-MONTH($E38))/$G38,0)*$G38)+$G38),EDATE($E38,MAX(0,ROUNDUP(((YEAR(Y$3)-YEAR($E38))*12+MONTH(Y$3)-MONTH($E38))/$G38,0)*$G38)))&gt;=Y$3,IF(EDATE($E38,MAX(0,ROUNDUP(((YEAR(Y$3)-YEAR($E38))*12+MONTH(Y$3)-MONTH($E38))/$G38,0)*$G38))&lt;Y$3,EDATE($E38,MAX(0,ROUNDUP(((YEAR(Y$3)-YEAR($E38))*12+MONTH(Y$3)-MONTH($E38))/$G38,0)*$G38)+$G38),EDATE($E38,MAX(0,ROUNDUP(((YEAR(Y$3)-YEAR($E38))*12+MONTH(Y$3)-MONTH($E38))/$G38,0)*$G38)))&lt;=IF($F38="",Y$4,MIN(Y$4,$F38))),1,0)))))</f>
        <v>0</v>
      </c>
      <c r="Z38" s="25" t="n">
        <f aca="false">IF(OR($C38="",$C38=0,$E38="",$B38="",$G38=-2),0,$C38*IF($G38=0,IF(IF($F38="",Z$4,MIN(Z$4,$F38))&lt;$E38,0,MAX(0,INT((IF($F38="",Z$4,MIN(Z$4,$F38))-$E38)/7)+1-MAX(0,ROUNDUP((Z$3-$E38)/7,0)))),IF($G38=101,(AND(EOMONTH(Z$3,0)&gt;=MAX(Z$3,$E38),EOMONTH(Z$3,0)&lt;=IF($F38="",Z$4,MIN(Z$4,$F38)))*1+AND(EOMONTH(Z$4,0)&lt;&gt;EOMONTH(Z$3,0),EOMONTH(Z$4,0)&gt;=MAX(Z$3,$E38),EOMONTH(Z$4,0)&lt;=IF($F38="",Z$4,MIN(Z$4,$F38)))*1),IF($G38=102,(AND(WORKDAY(EOMONTH(Z$3,0)+1,-3)&gt;=MAX(Z$3,$E38),WORKDAY(EOMONTH(Z$3,0)+1,-3)&lt;=IF($F38="",Z$4,MIN(Z$4,$F38)))*1+AND(WORKDAY(EOMONTH(Z$4,0)+1,-3)&lt;&gt;WORKDAY(EOMONTH(Z$3,0)+1,-3),WORKDAY(EOMONTH(Z$4,0)+1,-3)&gt;=MAX(Z$3,$E38),WORKDAY(EOMONTH(Z$4,0)+1,-3)&lt;=IF($F38="",Z$4,MIN(Z$4,$F38)))*1),IF(AND(IF(EDATE($E38,MAX(0,ROUNDUP(((YEAR(Z$3)-YEAR($E38))*12+MONTH(Z$3)-MONTH($E38))/$G38,0)*$G38))&lt;Z$3,EDATE($E38,MAX(0,ROUNDUP(((YEAR(Z$3)-YEAR($E38))*12+MONTH(Z$3)-MONTH($E38))/$G38,0)*$G38)+$G38),EDATE($E38,MAX(0,ROUNDUP(((YEAR(Z$3)-YEAR($E38))*12+MONTH(Z$3)-MONTH($E38))/$G38,0)*$G38)))&gt;=Z$3,IF(EDATE($E38,MAX(0,ROUNDUP(((YEAR(Z$3)-YEAR($E38))*12+MONTH(Z$3)-MONTH($E38))/$G38,0)*$G38))&lt;Z$3,EDATE($E38,MAX(0,ROUNDUP(((YEAR(Z$3)-YEAR($E38))*12+MONTH(Z$3)-MONTH($E38))/$G38,0)*$G38)+$G38),EDATE($E38,MAX(0,ROUNDUP(((YEAR(Z$3)-YEAR($E38))*12+MONTH(Z$3)-MONTH($E38))/$G38,0)*$G38)))&lt;=IF($F38="",Z$4,MIN(Z$4,$F38))),1,0)))))</f>
        <v>0</v>
      </c>
      <c r="AA38" s="25" t="n">
        <f aca="false">IF(OR($C38="",$C38=0,$E38="",$B38="",$G38=-2),0,$C38*IF($G38=0,IF(IF($F38="",AA$4,MIN(AA$4,$F38))&lt;$E38,0,MAX(0,INT((IF($F38="",AA$4,MIN(AA$4,$F38))-$E38)/7)+1-MAX(0,ROUNDUP((AA$3-$E38)/7,0)))),IF($G38=101,(AND(EOMONTH(AA$3,0)&gt;=MAX(AA$3,$E38),EOMONTH(AA$3,0)&lt;=IF($F38="",AA$4,MIN(AA$4,$F38)))*1+AND(EOMONTH(AA$4,0)&lt;&gt;EOMONTH(AA$3,0),EOMONTH(AA$4,0)&gt;=MAX(AA$3,$E38),EOMONTH(AA$4,0)&lt;=IF($F38="",AA$4,MIN(AA$4,$F38)))*1),IF($G38=102,(AND(WORKDAY(EOMONTH(AA$3,0)+1,-3)&gt;=MAX(AA$3,$E38),WORKDAY(EOMONTH(AA$3,0)+1,-3)&lt;=IF($F38="",AA$4,MIN(AA$4,$F38)))*1+AND(WORKDAY(EOMONTH(AA$4,0)+1,-3)&lt;&gt;WORKDAY(EOMONTH(AA$3,0)+1,-3),WORKDAY(EOMONTH(AA$4,0)+1,-3)&gt;=MAX(AA$3,$E38),WORKDAY(EOMONTH(AA$4,0)+1,-3)&lt;=IF($F38="",AA$4,MIN(AA$4,$F38)))*1),IF(AND(IF(EDATE($E38,MAX(0,ROUNDUP(((YEAR(AA$3)-YEAR($E38))*12+MONTH(AA$3)-MONTH($E38))/$G38,0)*$G38))&lt;AA$3,EDATE($E38,MAX(0,ROUNDUP(((YEAR(AA$3)-YEAR($E38))*12+MONTH(AA$3)-MONTH($E38))/$G38,0)*$G38)+$G38),EDATE($E38,MAX(0,ROUNDUP(((YEAR(AA$3)-YEAR($E38))*12+MONTH(AA$3)-MONTH($E38))/$G38,0)*$G38)))&gt;=AA$3,IF(EDATE($E38,MAX(0,ROUNDUP(((YEAR(AA$3)-YEAR($E38))*12+MONTH(AA$3)-MONTH($E38))/$G38,0)*$G38))&lt;AA$3,EDATE($E38,MAX(0,ROUNDUP(((YEAR(AA$3)-YEAR($E38))*12+MONTH(AA$3)-MONTH($E38))/$G38,0)*$G38)+$G38),EDATE($E38,MAX(0,ROUNDUP(((YEAR(AA$3)-YEAR($E38))*12+MONTH(AA$3)-MONTH($E38))/$G38,0)*$G38)))&lt;=IF($F38="",AA$4,MIN(AA$4,$F38))),1,0)))))</f>
        <v>0</v>
      </c>
      <c r="AB38" s="25" t="n">
        <f aca="false">IF(OR($C38="",$C38=0,$E38="",$B38="",$G38=-2),0,$C38*IF($G38=0,IF(IF($F38="",AB$4,MIN(AB$4,$F38))&lt;$E38,0,MAX(0,INT((IF($F38="",AB$4,MIN(AB$4,$F38))-$E38)/7)+1-MAX(0,ROUNDUP((AB$3-$E38)/7,0)))),IF($G38=101,(AND(EOMONTH(AB$3,0)&gt;=MAX(AB$3,$E38),EOMONTH(AB$3,0)&lt;=IF($F38="",AB$4,MIN(AB$4,$F38)))*1+AND(EOMONTH(AB$4,0)&lt;&gt;EOMONTH(AB$3,0),EOMONTH(AB$4,0)&gt;=MAX(AB$3,$E38),EOMONTH(AB$4,0)&lt;=IF($F38="",AB$4,MIN(AB$4,$F38)))*1),IF($G38=102,(AND(WORKDAY(EOMONTH(AB$3,0)+1,-3)&gt;=MAX(AB$3,$E38),WORKDAY(EOMONTH(AB$3,0)+1,-3)&lt;=IF($F38="",AB$4,MIN(AB$4,$F38)))*1+AND(WORKDAY(EOMONTH(AB$4,0)+1,-3)&lt;&gt;WORKDAY(EOMONTH(AB$3,0)+1,-3),WORKDAY(EOMONTH(AB$4,0)+1,-3)&gt;=MAX(AB$3,$E38),WORKDAY(EOMONTH(AB$4,0)+1,-3)&lt;=IF($F38="",AB$4,MIN(AB$4,$F38)))*1),IF(AND(IF(EDATE($E38,MAX(0,ROUNDUP(((YEAR(AB$3)-YEAR($E38))*12+MONTH(AB$3)-MONTH($E38))/$G38,0)*$G38))&lt;AB$3,EDATE($E38,MAX(0,ROUNDUP(((YEAR(AB$3)-YEAR($E38))*12+MONTH(AB$3)-MONTH($E38))/$G38,0)*$G38)+$G38),EDATE($E38,MAX(0,ROUNDUP(((YEAR(AB$3)-YEAR($E38))*12+MONTH(AB$3)-MONTH($E38))/$G38,0)*$G38)))&gt;=AB$3,IF(EDATE($E38,MAX(0,ROUNDUP(((YEAR(AB$3)-YEAR($E38))*12+MONTH(AB$3)-MONTH($E38))/$G38,0)*$G38))&lt;AB$3,EDATE($E38,MAX(0,ROUNDUP(((YEAR(AB$3)-YEAR($E38))*12+MONTH(AB$3)-MONTH($E38))/$G38,0)*$G38)+$G38),EDATE($E38,MAX(0,ROUNDUP(((YEAR(AB$3)-YEAR($E38))*12+MONTH(AB$3)-MONTH($E38))/$G38,0)*$G38)))&lt;=IF($F38="",AB$4,MIN(AB$4,$F38))),1,0)))))</f>
        <v>0</v>
      </c>
      <c r="AC38" s="25" t="n">
        <f aca="false">IF(OR($C38="",$C38=0,$E38="",$B38="",$G38=-2),0,$C38*IF($G38=0,IF(IF($F38="",AC$4,MIN(AC$4,$F38))&lt;$E38,0,MAX(0,INT((IF($F38="",AC$4,MIN(AC$4,$F38))-$E38)/7)+1-MAX(0,ROUNDUP((AC$3-$E38)/7,0)))),IF($G38=101,(AND(EOMONTH(AC$3,0)&gt;=MAX(AC$3,$E38),EOMONTH(AC$3,0)&lt;=IF($F38="",AC$4,MIN(AC$4,$F38)))*1+AND(EOMONTH(AC$4,0)&lt;&gt;EOMONTH(AC$3,0),EOMONTH(AC$4,0)&gt;=MAX(AC$3,$E38),EOMONTH(AC$4,0)&lt;=IF($F38="",AC$4,MIN(AC$4,$F38)))*1),IF($G38=102,(AND(WORKDAY(EOMONTH(AC$3,0)+1,-3)&gt;=MAX(AC$3,$E38),WORKDAY(EOMONTH(AC$3,0)+1,-3)&lt;=IF($F38="",AC$4,MIN(AC$4,$F38)))*1+AND(WORKDAY(EOMONTH(AC$4,0)+1,-3)&lt;&gt;WORKDAY(EOMONTH(AC$3,0)+1,-3),WORKDAY(EOMONTH(AC$4,0)+1,-3)&gt;=MAX(AC$3,$E38),WORKDAY(EOMONTH(AC$4,0)+1,-3)&lt;=IF($F38="",AC$4,MIN(AC$4,$F38)))*1),IF(AND(IF(EDATE($E38,MAX(0,ROUNDUP(((YEAR(AC$3)-YEAR($E38))*12+MONTH(AC$3)-MONTH($E38))/$G38,0)*$G38))&lt;AC$3,EDATE($E38,MAX(0,ROUNDUP(((YEAR(AC$3)-YEAR($E38))*12+MONTH(AC$3)-MONTH($E38))/$G38,0)*$G38)+$G38),EDATE($E38,MAX(0,ROUNDUP(((YEAR(AC$3)-YEAR($E38))*12+MONTH(AC$3)-MONTH($E38))/$G38,0)*$G38)))&gt;=AC$3,IF(EDATE($E38,MAX(0,ROUNDUP(((YEAR(AC$3)-YEAR($E38))*12+MONTH(AC$3)-MONTH($E38))/$G38,0)*$G38))&lt;AC$3,EDATE($E38,MAX(0,ROUNDUP(((YEAR(AC$3)-YEAR($E38))*12+MONTH(AC$3)-MONTH($E38))/$G38,0)*$G38)+$G38),EDATE($E38,MAX(0,ROUNDUP(((YEAR(AC$3)-YEAR($E38))*12+MONTH(AC$3)-MONTH($E38))/$G38,0)*$G38)))&lt;=IF($F38="",AC$4,MIN(AC$4,$F38))),1,0)))))</f>
        <v>0</v>
      </c>
      <c r="AD38" s="25" t="n">
        <f aca="false">IF(OR($C38="",$C38=0,$E38="",$B38="",$G38=-2),0,$C38*IF($G38=0,IF(IF($F38="",AD$4,MIN(AD$4,$F38))&lt;$E38,0,MAX(0,INT((IF($F38="",AD$4,MIN(AD$4,$F38))-$E38)/7)+1-MAX(0,ROUNDUP((AD$3-$E38)/7,0)))),IF($G38=101,(AND(EOMONTH(AD$3,0)&gt;=MAX(AD$3,$E38),EOMONTH(AD$3,0)&lt;=IF($F38="",AD$4,MIN(AD$4,$F38)))*1+AND(EOMONTH(AD$4,0)&lt;&gt;EOMONTH(AD$3,0),EOMONTH(AD$4,0)&gt;=MAX(AD$3,$E38),EOMONTH(AD$4,0)&lt;=IF($F38="",AD$4,MIN(AD$4,$F38)))*1),IF($G38=102,(AND(WORKDAY(EOMONTH(AD$3,0)+1,-3)&gt;=MAX(AD$3,$E38),WORKDAY(EOMONTH(AD$3,0)+1,-3)&lt;=IF($F38="",AD$4,MIN(AD$4,$F38)))*1+AND(WORKDAY(EOMONTH(AD$4,0)+1,-3)&lt;&gt;WORKDAY(EOMONTH(AD$3,0)+1,-3),WORKDAY(EOMONTH(AD$4,0)+1,-3)&gt;=MAX(AD$3,$E38),WORKDAY(EOMONTH(AD$4,0)+1,-3)&lt;=IF($F38="",AD$4,MIN(AD$4,$F38)))*1),IF(AND(IF(EDATE($E38,MAX(0,ROUNDUP(((YEAR(AD$3)-YEAR($E38))*12+MONTH(AD$3)-MONTH($E38))/$G38,0)*$G38))&lt;AD$3,EDATE($E38,MAX(0,ROUNDUP(((YEAR(AD$3)-YEAR($E38))*12+MONTH(AD$3)-MONTH($E38))/$G38,0)*$G38)+$G38),EDATE($E38,MAX(0,ROUNDUP(((YEAR(AD$3)-YEAR($E38))*12+MONTH(AD$3)-MONTH($E38))/$G38,0)*$G38)))&gt;=AD$3,IF(EDATE($E38,MAX(0,ROUNDUP(((YEAR(AD$3)-YEAR($E38))*12+MONTH(AD$3)-MONTH($E38))/$G38,0)*$G38))&lt;AD$3,EDATE($E38,MAX(0,ROUNDUP(((YEAR(AD$3)-YEAR($E38))*12+MONTH(AD$3)-MONTH($E38))/$G38,0)*$G38)+$G38),EDATE($E38,MAX(0,ROUNDUP(((YEAR(AD$3)-YEAR($E38))*12+MONTH(AD$3)-MONTH($E38))/$G38,0)*$G38)))&lt;=IF($F38="",AD$4,MIN(AD$4,$F38))),1,0)))))</f>
        <v>0</v>
      </c>
      <c r="AE38" s="25" t="n">
        <f aca="false">IF(OR($C38="",$C38=0,$E38="",$B38="",$G38=-2),0,$C38*IF($G38=0,IF(IF($F38="",AE$4,MIN(AE$4,$F38))&lt;$E38,0,MAX(0,INT((IF($F38="",AE$4,MIN(AE$4,$F38))-$E38)/7)+1-MAX(0,ROUNDUP((AE$3-$E38)/7,0)))),IF($G38=101,(AND(EOMONTH(AE$3,0)&gt;=MAX(AE$3,$E38),EOMONTH(AE$3,0)&lt;=IF($F38="",AE$4,MIN(AE$4,$F38)))*1+AND(EOMONTH(AE$4,0)&lt;&gt;EOMONTH(AE$3,0),EOMONTH(AE$4,0)&gt;=MAX(AE$3,$E38),EOMONTH(AE$4,0)&lt;=IF($F38="",AE$4,MIN(AE$4,$F38)))*1),IF($G38=102,(AND(WORKDAY(EOMONTH(AE$3,0)+1,-3)&gt;=MAX(AE$3,$E38),WORKDAY(EOMONTH(AE$3,0)+1,-3)&lt;=IF($F38="",AE$4,MIN(AE$4,$F38)))*1+AND(WORKDAY(EOMONTH(AE$4,0)+1,-3)&lt;&gt;WORKDAY(EOMONTH(AE$3,0)+1,-3),WORKDAY(EOMONTH(AE$4,0)+1,-3)&gt;=MAX(AE$3,$E38),WORKDAY(EOMONTH(AE$4,0)+1,-3)&lt;=IF($F38="",AE$4,MIN(AE$4,$F38)))*1),IF(AND(IF(EDATE($E38,MAX(0,ROUNDUP(((YEAR(AE$3)-YEAR($E38))*12+MONTH(AE$3)-MONTH($E38))/$G38,0)*$G38))&lt;AE$3,EDATE($E38,MAX(0,ROUNDUP(((YEAR(AE$3)-YEAR($E38))*12+MONTH(AE$3)-MONTH($E38))/$G38,0)*$G38)+$G38),EDATE($E38,MAX(0,ROUNDUP(((YEAR(AE$3)-YEAR($E38))*12+MONTH(AE$3)-MONTH($E38))/$G38,0)*$G38)))&gt;=AE$3,IF(EDATE($E38,MAX(0,ROUNDUP(((YEAR(AE$3)-YEAR($E38))*12+MONTH(AE$3)-MONTH($E38))/$G38,0)*$G38))&lt;AE$3,EDATE($E38,MAX(0,ROUNDUP(((YEAR(AE$3)-YEAR($E38))*12+MONTH(AE$3)-MONTH($E38))/$G38,0)*$G38)+$G38),EDATE($E38,MAX(0,ROUNDUP(((YEAR(AE$3)-YEAR($E38))*12+MONTH(AE$3)-MONTH($E38))/$G38,0)*$G38)))&lt;=IF($F38="",AE$4,MIN(AE$4,$F38))),1,0)))))</f>
        <v>0</v>
      </c>
      <c r="AF38" s="25" t="n">
        <f aca="false">IF(OR($C38="",$C38=0,$E38="",$B38="",$G38=-2),0,$C38*IF($G38=0,IF(IF($F38="",AF$4,MIN(AF$4,$F38))&lt;$E38,0,MAX(0,INT((IF($F38="",AF$4,MIN(AF$4,$F38))-$E38)/7)+1-MAX(0,ROUNDUP((AF$3-$E38)/7,0)))),IF($G38=101,(AND(EOMONTH(AF$3,0)&gt;=MAX(AF$3,$E38),EOMONTH(AF$3,0)&lt;=IF($F38="",AF$4,MIN(AF$4,$F38)))*1+AND(EOMONTH(AF$4,0)&lt;&gt;EOMONTH(AF$3,0),EOMONTH(AF$4,0)&gt;=MAX(AF$3,$E38),EOMONTH(AF$4,0)&lt;=IF($F38="",AF$4,MIN(AF$4,$F38)))*1),IF($G38=102,(AND(WORKDAY(EOMONTH(AF$3,0)+1,-3)&gt;=MAX(AF$3,$E38),WORKDAY(EOMONTH(AF$3,0)+1,-3)&lt;=IF($F38="",AF$4,MIN(AF$4,$F38)))*1+AND(WORKDAY(EOMONTH(AF$4,0)+1,-3)&lt;&gt;WORKDAY(EOMONTH(AF$3,0)+1,-3),WORKDAY(EOMONTH(AF$4,0)+1,-3)&gt;=MAX(AF$3,$E38),WORKDAY(EOMONTH(AF$4,0)+1,-3)&lt;=IF($F38="",AF$4,MIN(AF$4,$F38)))*1),IF(AND(IF(EDATE($E38,MAX(0,ROUNDUP(((YEAR(AF$3)-YEAR($E38))*12+MONTH(AF$3)-MONTH($E38))/$G38,0)*$G38))&lt;AF$3,EDATE($E38,MAX(0,ROUNDUP(((YEAR(AF$3)-YEAR($E38))*12+MONTH(AF$3)-MONTH($E38))/$G38,0)*$G38)+$G38),EDATE($E38,MAX(0,ROUNDUP(((YEAR(AF$3)-YEAR($E38))*12+MONTH(AF$3)-MONTH($E38))/$G38,0)*$G38)))&gt;=AF$3,IF(EDATE($E38,MAX(0,ROUNDUP(((YEAR(AF$3)-YEAR($E38))*12+MONTH(AF$3)-MONTH($E38))/$G38,0)*$G38))&lt;AF$3,EDATE($E38,MAX(0,ROUNDUP(((YEAR(AF$3)-YEAR($E38))*12+MONTH(AF$3)-MONTH($E38))/$G38,0)*$G38)+$G38),EDATE($E38,MAX(0,ROUNDUP(((YEAR(AF$3)-YEAR($E38))*12+MONTH(AF$3)-MONTH($E38))/$G38,0)*$G38)))&lt;=IF($F38="",AF$4,MIN(AF$4,$F38))),1,0)))))</f>
        <v>0</v>
      </c>
    </row>
    <row r="39" customFormat="false" ht="15" hidden="false" customHeight="false" outlineLevel="0" collapsed="false">
      <c r="A39" s="5"/>
      <c r="B39" s="5"/>
      <c r="C39" s="8"/>
      <c r="D39" s="5"/>
      <c r="E39" s="7"/>
      <c r="F39" s="7"/>
      <c r="G39" s="24" t="n">
        <f aca="false">IFERROR(INDEX(Listen!$E$2:$E$8,MATCH(D39,Listen!$D$2:$D$8,0)),-2)</f>
        <v>-2</v>
      </c>
      <c r="H39" s="25" t="n">
        <f aca="false">IF(OR($C39="",$C39=0,$E39="",$B39="",$G39=-2),0,$C39*IF($G39=0,IF(IF($F39="",H$4,MIN(H$4,$F39))&lt;$E39,0,MAX(0,INT((IF($F39="",H$4,MIN(H$4,$F39))-$E39)/7)+1-MAX(0,ROUNDUP((H$3-$E39)/7,0)))),IF($G39=101,(AND(EOMONTH(H$3,0)&gt;=MAX(H$3,$E39),EOMONTH(H$3,0)&lt;=IF($F39="",H$4,MIN(H$4,$F39)))*1+AND(EOMONTH(H$4,0)&lt;&gt;EOMONTH(H$3,0),EOMONTH(H$4,0)&gt;=MAX(H$3,$E39),EOMONTH(H$4,0)&lt;=IF($F39="",H$4,MIN(H$4,$F39)))*1),IF($G39=102,(AND(WORKDAY(EOMONTH(H$3,0)+1,-3)&gt;=MAX(H$3,$E39),WORKDAY(EOMONTH(H$3,0)+1,-3)&lt;=IF($F39="",H$4,MIN(H$4,$F39)))*1+AND(WORKDAY(EOMONTH(H$4,0)+1,-3)&lt;&gt;WORKDAY(EOMONTH(H$3,0)+1,-3),WORKDAY(EOMONTH(H$4,0)+1,-3)&gt;=MAX(H$3,$E39),WORKDAY(EOMONTH(H$4,0)+1,-3)&lt;=IF($F39="",H$4,MIN(H$4,$F39)))*1),IF(AND(IF(EDATE($E39,MAX(0,ROUNDUP(((YEAR(H$3)-YEAR($E39))*12+MONTH(H$3)-MONTH($E39))/$G39,0)*$G39))&lt;H$3,EDATE($E39,MAX(0,ROUNDUP(((YEAR(H$3)-YEAR($E39))*12+MONTH(H$3)-MONTH($E39))/$G39,0)*$G39)+$G39),EDATE($E39,MAX(0,ROUNDUP(((YEAR(H$3)-YEAR($E39))*12+MONTH(H$3)-MONTH($E39))/$G39,0)*$G39)))&gt;=H$3,IF(EDATE($E39,MAX(0,ROUNDUP(((YEAR(H$3)-YEAR($E39))*12+MONTH(H$3)-MONTH($E39))/$G39,0)*$G39))&lt;H$3,EDATE($E39,MAX(0,ROUNDUP(((YEAR(H$3)-YEAR($E39))*12+MONTH(H$3)-MONTH($E39))/$G39,0)*$G39)+$G39),EDATE($E39,MAX(0,ROUNDUP(((YEAR(H$3)-YEAR($E39))*12+MONTH(H$3)-MONTH($E39))/$G39,0)*$G39)))&lt;=IF($F39="",H$4,MIN(H$4,$F39))),1,0)))))</f>
        <v>0</v>
      </c>
      <c r="I39" s="25" t="n">
        <f aca="false">IF(OR($C39="",$C39=0,$E39="",$B39="",$G39=-2),0,$C39*IF($G39=0,IF(IF($F39="",I$4,MIN(I$4,$F39))&lt;$E39,0,MAX(0,INT((IF($F39="",I$4,MIN(I$4,$F39))-$E39)/7)+1-MAX(0,ROUNDUP((I$3-$E39)/7,0)))),IF($G39=101,(AND(EOMONTH(I$3,0)&gt;=MAX(I$3,$E39),EOMONTH(I$3,0)&lt;=IF($F39="",I$4,MIN(I$4,$F39)))*1+AND(EOMONTH(I$4,0)&lt;&gt;EOMONTH(I$3,0),EOMONTH(I$4,0)&gt;=MAX(I$3,$E39),EOMONTH(I$4,0)&lt;=IF($F39="",I$4,MIN(I$4,$F39)))*1),IF($G39=102,(AND(WORKDAY(EOMONTH(I$3,0)+1,-3)&gt;=MAX(I$3,$E39),WORKDAY(EOMONTH(I$3,0)+1,-3)&lt;=IF($F39="",I$4,MIN(I$4,$F39)))*1+AND(WORKDAY(EOMONTH(I$4,0)+1,-3)&lt;&gt;WORKDAY(EOMONTH(I$3,0)+1,-3),WORKDAY(EOMONTH(I$4,0)+1,-3)&gt;=MAX(I$3,$E39),WORKDAY(EOMONTH(I$4,0)+1,-3)&lt;=IF($F39="",I$4,MIN(I$4,$F39)))*1),IF(AND(IF(EDATE($E39,MAX(0,ROUNDUP(((YEAR(I$3)-YEAR($E39))*12+MONTH(I$3)-MONTH($E39))/$G39,0)*$G39))&lt;I$3,EDATE($E39,MAX(0,ROUNDUP(((YEAR(I$3)-YEAR($E39))*12+MONTH(I$3)-MONTH($E39))/$G39,0)*$G39)+$G39),EDATE($E39,MAX(0,ROUNDUP(((YEAR(I$3)-YEAR($E39))*12+MONTH(I$3)-MONTH($E39))/$G39,0)*$G39)))&gt;=I$3,IF(EDATE($E39,MAX(0,ROUNDUP(((YEAR(I$3)-YEAR($E39))*12+MONTH(I$3)-MONTH($E39))/$G39,0)*$G39))&lt;I$3,EDATE($E39,MAX(0,ROUNDUP(((YEAR(I$3)-YEAR($E39))*12+MONTH(I$3)-MONTH($E39))/$G39,0)*$G39)+$G39),EDATE($E39,MAX(0,ROUNDUP(((YEAR(I$3)-YEAR($E39))*12+MONTH(I$3)-MONTH($E39))/$G39,0)*$G39)))&lt;=IF($F39="",I$4,MIN(I$4,$F39))),1,0)))))</f>
        <v>0</v>
      </c>
      <c r="J39" s="25" t="n">
        <f aca="false">IF(OR($C39="",$C39=0,$E39="",$B39="",$G39=-2),0,$C39*IF($G39=0,IF(IF($F39="",J$4,MIN(J$4,$F39))&lt;$E39,0,MAX(0,INT((IF($F39="",J$4,MIN(J$4,$F39))-$E39)/7)+1-MAX(0,ROUNDUP((J$3-$E39)/7,0)))),IF($G39=101,(AND(EOMONTH(J$3,0)&gt;=MAX(J$3,$E39),EOMONTH(J$3,0)&lt;=IF($F39="",J$4,MIN(J$4,$F39)))*1+AND(EOMONTH(J$4,0)&lt;&gt;EOMONTH(J$3,0),EOMONTH(J$4,0)&gt;=MAX(J$3,$E39),EOMONTH(J$4,0)&lt;=IF($F39="",J$4,MIN(J$4,$F39)))*1),IF($G39=102,(AND(WORKDAY(EOMONTH(J$3,0)+1,-3)&gt;=MAX(J$3,$E39),WORKDAY(EOMONTH(J$3,0)+1,-3)&lt;=IF($F39="",J$4,MIN(J$4,$F39)))*1+AND(WORKDAY(EOMONTH(J$4,0)+1,-3)&lt;&gt;WORKDAY(EOMONTH(J$3,0)+1,-3),WORKDAY(EOMONTH(J$4,0)+1,-3)&gt;=MAX(J$3,$E39),WORKDAY(EOMONTH(J$4,0)+1,-3)&lt;=IF($F39="",J$4,MIN(J$4,$F39)))*1),IF(AND(IF(EDATE($E39,MAX(0,ROUNDUP(((YEAR(J$3)-YEAR($E39))*12+MONTH(J$3)-MONTH($E39))/$G39,0)*$G39))&lt;J$3,EDATE($E39,MAX(0,ROUNDUP(((YEAR(J$3)-YEAR($E39))*12+MONTH(J$3)-MONTH($E39))/$G39,0)*$G39)+$G39),EDATE($E39,MAX(0,ROUNDUP(((YEAR(J$3)-YEAR($E39))*12+MONTH(J$3)-MONTH($E39))/$G39,0)*$G39)))&gt;=J$3,IF(EDATE($E39,MAX(0,ROUNDUP(((YEAR(J$3)-YEAR($E39))*12+MONTH(J$3)-MONTH($E39))/$G39,0)*$G39))&lt;J$3,EDATE($E39,MAX(0,ROUNDUP(((YEAR(J$3)-YEAR($E39))*12+MONTH(J$3)-MONTH($E39))/$G39,0)*$G39)+$G39),EDATE($E39,MAX(0,ROUNDUP(((YEAR(J$3)-YEAR($E39))*12+MONTH(J$3)-MONTH($E39))/$G39,0)*$G39)))&lt;=IF($F39="",J$4,MIN(J$4,$F39))),1,0)))))</f>
        <v>0</v>
      </c>
      <c r="K39" s="25" t="n">
        <f aca="false">IF(OR($C39="",$C39=0,$E39="",$B39="",$G39=-2),0,$C39*IF($G39=0,IF(IF($F39="",K$4,MIN(K$4,$F39))&lt;$E39,0,MAX(0,INT((IF($F39="",K$4,MIN(K$4,$F39))-$E39)/7)+1-MAX(0,ROUNDUP((K$3-$E39)/7,0)))),IF($G39=101,(AND(EOMONTH(K$3,0)&gt;=MAX(K$3,$E39),EOMONTH(K$3,0)&lt;=IF($F39="",K$4,MIN(K$4,$F39)))*1+AND(EOMONTH(K$4,0)&lt;&gt;EOMONTH(K$3,0),EOMONTH(K$4,0)&gt;=MAX(K$3,$E39),EOMONTH(K$4,0)&lt;=IF($F39="",K$4,MIN(K$4,$F39)))*1),IF($G39=102,(AND(WORKDAY(EOMONTH(K$3,0)+1,-3)&gt;=MAX(K$3,$E39),WORKDAY(EOMONTH(K$3,0)+1,-3)&lt;=IF($F39="",K$4,MIN(K$4,$F39)))*1+AND(WORKDAY(EOMONTH(K$4,0)+1,-3)&lt;&gt;WORKDAY(EOMONTH(K$3,0)+1,-3),WORKDAY(EOMONTH(K$4,0)+1,-3)&gt;=MAX(K$3,$E39),WORKDAY(EOMONTH(K$4,0)+1,-3)&lt;=IF($F39="",K$4,MIN(K$4,$F39)))*1),IF(AND(IF(EDATE($E39,MAX(0,ROUNDUP(((YEAR(K$3)-YEAR($E39))*12+MONTH(K$3)-MONTH($E39))/$G39,0)*$G39))&lt;K$3,EDATE($E39,MAX(0,ROUNDUP(((YEAR(K$3)-YEAR($E39))*12+MONTH(K$3)-MONTH($E39))/$G39,0)*$G39)+$G39),EDATE($E39,MAX(0,ROUNDUP(((YEAR(K$3)-YEAR($E39))*12+MONTH(K$3)-MONTH($E39))/$G39,0)*$G39)))&gt;=K$3,IF(EDATE($E39,MAX(0,ROUNDUP(((YEAR(K$3)-YEAR($E39))*12+MONTH(K$3)-MONTH($E39))/$G39,0)*$G39))&lt;K$3,EDATE($E39,MAX(0,ROUNDUP(((YEAR(K$3)-YEAR($E39))*12+MONTH(K$3)-MONTH($E39))/$G39,0)*$G39)+$G39),EDATE($E39,MAX(0,ROUNDUP(((YEAR(K$3)-YEAR($E39))*12+MONTH(K$3)-MONTH($E39))/$G39,0)*$G39)))&lt;=IF($F39="",K$4,MIN(K$4,$F39))),1,0)))))</f>
        <v>0</v>
      </c>
      <c r="L39" s="25" t="n">
        <f aca="false">IF(OR($C39="",$C39=0,$E39="",$B39="",$G39=-2),0,$C39*IF($G39=0,IF(IF($F39="",L$4,MIN(L$4,$F39))&lt;$E39,0,MAX(0,INT((IF($F39="",L$4,MIN(L$4,$F39))-$E39)/7)+1-MAX(0,ROUNDUP((L$3-$E39)/7,0)))),IF($G39=101,(AND(EOMONTH(L$3,0)&gt;=MAX(L$3,$E39),EOMONTH(L$3,0)&lt;=IF($F39="",L$4,MIN(L$4,$F39)))*1+AND(EOMONTH(L$4,0)&lt;&gt;EOMONTH(L$3,0),EOMONTH(L$4,0)&gt;=MAX(L$3,$E39),EOMONTH(L$4,0)&lt;=IF($F39="",L$4,MIN(L$4,$F39)))*1),IF($G39=102,(AND(WORKDAY(EOMONTH(L$3,0)+1,-3)&gt;=MAX(L$3,$E39),WORKDAY(EOMONTH(L$3,0)+1,-3)&lt;=IF($F39="",L$4,MIN(L$4,$F39)))*1+AND(WORKDAY(EOMONTH(L$4,0)+1,-3)&lt;&gt;WORKDAY(EOMONTH(L$3,0)+1,-3),WORKDAY(EOMONTH(L$4,0)+1,-3)&gt;=MAX(L$3,$E39),WORKDAY(EOMONTH(L$4,0)+1,-3)&lt;=IF($F39="",L$4,MIN(L$4,$F39)))*1),IF(AND(IF(EDATE($E39,MAX(0,ROUNDUP(((YEAR(L$3)-YEAR($E39))*12+MONTH(L$3)-MONTH($E39))/$G39,0)*$G39))&lt;L$3,EDATE($E39,MAX(0,ROUNDUP(((YEAR(L$3)-YEAR($E39))*12+MONTH(L$3)-MONTH($E39))/$G39,0)*$G39)+$G39),EDATE($E39,MAX(0,ROUNDUP(((YEAR(L$3)-YEAR($E39))*12+MONTH(L$3)-MONTH($E39))/$G39,0)*$G39)))&gt;=L$3,IF(EDATE($E39,MAX(0,ROUNDUP(((YEAR(L$3)-YEAR($E39))*12+MONTH(L$3)-MONTH($E39))/$G39,0)*$G39))&lt;L$3,EDATE($E39,MAX(0,ROUNDUP(((YEAR(L$3)-YEAR($E39))*12+MONTH(L$3)-MONTH($E39))/$G39,0)*$G39)+$G39),EDATE($E39,MAX(0,ROUNDUP(((YEAR(L$3)-YEAR($E39))*12+MONTH(L$3)-MONTH($E39))/$G39,0)*$G39)))&lt;=IF($F39="",L$4,MIN(L$4,$F39))),1,0)))))</f>
        <v>0</v>
      </c>
      <c r="M39" s="25" t="n">
        <f aca="false">IF(OR($C39="",$C39=0,$E39="",$B39="",$G39=-2),0,$C39*IF($G39=0,IF(IF($F39="",M$4,MIN(M$4,$F39))&lt;$E39,0,MAX(0,INT((IF($F39="",M$4,MIN(M$4,$F39))-$E39)/7)+1-MAX(0,ROUNDUP((M$3-$E39)/7,0)))),IF($G39=101,(AND(EOMONTH(M$3,0)&gt;=MAX(M$3,$E39),EOMONTH(M$3,0)&lt;=IF($F39="",M$4,MIN(M$4,$F39)))*1+AND(EOMONTH(M$4,0)&lt;&gt;EOMONTH(M$3,0),EOMONTH(M$4,0)&gt;=MAX(M$3,$E39),EOMONTH(M$4,0)&lt;=IF($F39="",M$4,MIN(M$4,$F39)))*1),IF($G39=102,(AND(WORKDAY(EOMONTH(M$3,0)+1,-3)&gt;=MAX(M$3,$E39),WORKDAY(EOMONTH(M$3,0)+1,-3)&lt;=IF($F39="",M$4,MIN(M$4,$F39)))*1+AND(WORKDAY(EOMONTH(M$4,0)+1,-3)&lt;&gt;WORKDAY(EOMONTH(M$3,0)+1,-3),WORKDAY(EOMONTH(M$4,0)+1,-3)&gt;=MAX(M$3,$E39),WORKDAY(EOMONTH(M$4,0)+1,-3)&lt;=IF($F39="",M$4,MIN(M$4,$F39)))*1),IF(AND(IF(EDATE($E39,MAX(0,ROUNDUP(((YEAR(M$3)-YEAR($E39))*12+MONTH(M$3)-MONTH($E39))/$G39,0)*$G39))&lt;M$3,EDATE($E39,MAX(0,ROUNDUP(((YEAR(M$3)-YEAR($E39))*12+MONTH(M$3)-MONTH($E39))/$G39,0)*$G39)+$G39),EDATE($E39,MAX(0,ROUNDUP(((YEAR(M$3)-YEAR($E39))*12+MONTH(M$3)-MONTH($E39))/$G39,0)*$G39)))&gt;=M$3,IF(EDATE($E39,MAX(0,ROUNDUP(((YEAR(M$3)-YEAR($E39))*12+MONTH(M$3)-MONTH($E39))/$G39,0)*$G39))&lt;M$3,EDATE($E39,MAX(0,ROUNDUP(((YEAR(M$3)-YEAR($E39))*12+MONTH(M$3)-MONTH($E39))/$G39,0)*$G39)+$G39),EDATE($E39,MAX(0,ROUNDUP(((YEAR(M$3)-YEAR($E39))*12+MONTH(M$3)-MONTH($E39))/$G39,0)*$G39)))&lt;=IF($F39="",M$4,MIN(M$4,$F39))),1,0)))))</f>
        <v>0</v>
      </c>
      <c r="N39" s="25" t="n">
        <f aca="false">IF(OR($C39="",$C39=0,$E39="",$B39="",$G39=-2),0,$C39*IF($G39=0,IF(IF($F39="",N$4,MIN(N$4,$F39))&lt;$E39,0,MAX(0,INT((IF($F39="",N$4,MIN(N$4,$F39))-$E39)/7)+1-MAX(0,ROUNDUP((N$3-$E39)/7,0)))),IF($G39=101,(AND(EOMONTH(N$3,0)&gt;=MAX(N$3,$E39),EOMONTH(N$3,0)&lt;=IF($F39="",N$4,MIN(N$4,$F39)))*1+AND(EOMONTH(N$4,0)&lt;&gt;EOMONTH(N$3,0),EOMONTH(N$4,0)&gt;=MAX(N$3,$E39),EOMONTH(N$4,0)&lt;=IF($F39="",N$4,MIN(N$4,$F39)))*1),IF($G39=102,(AND(WORKDAY(EOMONTH(N$3,0)+1,-3)&gt;=MAX(N$3,$E39),WORKDAY(EOMONTH(N$3,0)+1,-3)&lt;=IF($F39="",N$4,MIN(N$4,$F39)))*1+AND(WORKDAY(EOMONTH(N$4,0)+1,-3)&lt;&gt;WORKDAY(EOMONTH(N$3,0)+1,-3),WORKDAY(EOMONTH(N$4,0)+1,-3)&gt;=MAX(N$3,$E39),WORKDAY(EOMONTH(N$4,0)+1,-3)&lt;=IF($F39="",N$4,MIN(N$4,$F39)))*1),IF(AND(IF(EDATE($E39,MAX(0,ROUNDUP(((YEAR(N$3)-YEAR($E39))*12+MONTH(N$3)-MONTH($E39))/$G39,0)*$G39))&lt;N$3,EDATE($E39,MAX(0,ROUNDUP(((YEAR(N$3)-YEAR($E39))*12+MONTH(N$3)-MONTH($E39))/$G39,0)*$G39)+$G39),EDATE($E39,MAX(0,ROUNDUP(((YEAR(N$3)-YEAR($E39))*12+MONTH(N$3)-MONTH($E39))/$G39,0)*$G39)))&gt;=N$3,IF(EDATE($E39,MAX(0,ROUNDUP(((YEAR(N$3)-YEAR($E39))*12+MONTH(N$3)-MONTH($E39))/$G39,0)*$G39))&lt;N$3,EDATE($E39,MAX(0,ROUNDUP(((YEAR(N$3)-YEAR($E39))*12+MONTH(N$3)-MONTH($E39))/$G39,0)*$G39)+$G39),EDATE($E39,MAX(0,ROUNDUP(((YEAR(N$3)-YEAR($E39))*12+MONTH(N$3)-MONTH($E39))/$G39,0)*$G39)))&lt;=IF($F39="",N$4,MIN(N$4,$F39))),1,0)))))</f>
        <v>0</v>
      </c>
      <c r="O39" s="25" t="n">
        <f aca="false">IF(OR($C39="",$C39=0,$E39="",$B39="",$G39=-2),0,$C39*IF($G39=0,IF(IF($F39="",O$4,MIN(O$4,$F39))&lt;$E39,0,MAX(0,INT((IF($F39="",O$4,MIN(O$4,$F39))-$E39)/7)+1-MAX(0,ROUNDUP((O$3-$E39)/7,0)))),IF($G39=101,(AND(EOMONTH(O$3,0)&gt;=MAX(O$3,$E39),EOMONTH(O$3,0)&lt;=IF($F39="",O$4,MIN(O$4,$F39)))*1+AND(EOMONTH(O$4,0)&lt;&gt;EOMONTH(O$3,0),EOMONTH(O$4,0)&gt;=MAX(O$3,$E39),EOMONTH(O$4,0)&lt;=IF($F39="",O$4,MIN(O$4,$F39)))*1),IF($G39=102,(AND(WORKDAY(EOMONTH(O$3,0)+1,-3)&gt;=MAX(O$3,$E39),WORKDAY(EOMONTH(O$3,0)+1,-3)&lt;=IF($F39="",O$4,MIN(O$4,$F39)))*1+AND(WORKDAY(EOMONTH(O$4,0)+1,-3)&lt;&gt;WORKDAY(EOMONTH(O$3,0)+1,-3),WORKDAY(EOMONTH(O$4,0)+1,-3)&gt;=MAX(O$3,$E39),WORKDAY(EOMONTH(O$4,0)+1,-3)&lt;=IF($F39="",O$4,MIN(O$4,$F39)))*1),IF(AND(IF(EDATE($E39,MAX(0,ROUNDUP(((YEAR(O$3)-YEAR($E39))*12+MONTH(O$3)-MONTH($E39))/$G39,0)*$G39))&lt;O$3,EDATE($E39,MAX(0,ROUNDUP(((YEAR(O$3)-YEAR($E39))*12+MONTH(O$3)-MONTH($E39))/$G39,0)*$G39)+$G39),EDATE($E39,MAX(0,ROUNDUP(((YEAR(O$3)-YEAR($E39))*12+MONTH(O$3)-MONTH($E39))/$G39,0)*$G39)))&gt;=O$3,IF(EDATE($E39,MAX(0,ROUNDUP(((YEAR(O$3)-YEAR($E39))*12+MONTH(O$3)-MONTH($E39))/$G39,0)*$G39))&lt;O$3,EDATE($E39,MAX(0,ROUNDUP(((YEAR(O$3)-YEAR($E39))*12+MONTH(O$3)-MONTH($E39))/$G39,0)*$G39)+$G39),EDATE($E39,MAX(0,ROUNDUP(((YEAR(O$3)-YEAR($E39))*12+MONTH(O$3)-MONTH($E39))/$G39,0)*$G39)))&lt;=IF($F39="",O$4,MIN(O$4,$F39))),1,0)))))</f>
        <v>0</v>
      </c>
      <c r="P39" s="25" t="n">
        <f aca="false">IF(OR($C39="",$C39=0,$E39="",$B39="",$G39=-2),0,$C39*IF($G39=0,IF(IF($F39="",P$4,MIN(P$4,$F39))&lt;$E39,0,MAX(0,INT((IF($F39="",P$4,MIN(P$4,$F39))-$E39)/7)+1-MAX(0,ROUNDUP((P$3-$E39)/7,0)))),IF($G39=101,(AND(EOMONTH(P$3,0)&gt;=MAX(P$3,$E39),EOMONTH(P$3,0)&lt;=IF($F39="",P$4,MIN(P$4,$F39)))*1+AND(EOMONTH(P$4,0)&lt;&gt;EOMONTH(P$3,0),EOMONTH(P$4,0)&gt;=MAX(P$3,$E39),EOMONTH(P$4,0)&lt;=IF($F39="",P$4,MIN(P$4,$F39)))*1),IF($G39=102,(AND(WORKDAY(EOMONTH(P$3,0)+1,-3)&gt;=MAX(P$3,$E39),WORKDAY(EOMONTH(P$3,0)+1,-3)&lt;=IF($F39="",P$4,MIN(P$4,$F39)))*1+AND(WORKDAY(EOMONTH(P$4,0)+1,-3)&lt;&gt;WORKDAY(EOMONTH(P$3,0)+1,-3),WORKDAY(EOMONTH(P$4,0)+1,-3)&gt;=MAX(P$3,$E39),WORKDAY(EOMONTH(P$4,0)+1,-3)&lt;=IF($F39="",P$4,MIN(P$4,$F39)))*1),IF(AND(IF(EDATE($E39,MAX(0,ROUNDUP(((YEAR(P$3)-YEAR($E39))*12+MONTH(P$3)-MONTH($E39))/$G39,0)*$G39))&lt;P$3,EDATE($E39,MAX(0,ROUNDUP(((YEAR(P$3)-YEAR($E39))*12+MONTH(P$3)-MONTH($E39))/$G39,0)*$G39)+$G39),EDATE($E39,MAX(0,ROUNDUP(((YEAR(P$3)-YEAR($E39))*12+MONTH(P$3)-MONTH($E39))/$G39,0)*$G39)))&gt;=P$3,IF(EDATE($E39,MAX(0,ROUNDUP(((YEAR(P$3)-YEAR($E39))*12+MONTH(P$3)-MONTH($E39))/$G39,0)*$G39))&lt;P$3,EDATE($E39,MAX(0,ROUNDUP(((YEAR(P$3)-YEAR($E39))*12+MONTH(P$3)-MONTH($E39))/$G39,0)*$G39)+$G39),EDATE($E39,MAX(0,ROUNDUP(((YEAR(P$3)-YEAR($E39))*12+MONTH(P$3)-MONTH($E39))/$G39,0)*$G39)))&lt;=IF($F39="",P$4,MIN(P$4,$F39))),1,0)))))</f>
        <v>0</v>
      </c>
      <c r="Q39" s="25" t="n">
        <f aca="false">IF(OR($C39="",$C39=0,$E39="",$B39="",$G39=-2),0,$C39*IF($G39=0,IF(IF($F39="",Q$4,MIN(Q$4,$F39))&lt;$E39,0,MAX(0,INT((IF($F39="",Q$4,MIN(Q$4,$F39))-$E39)/7)+1-MAX(0,ROUNDUP((Q$3-$E39)/7,0)))),IF($G39=101,(AND(EOMONTH(Q$3,0)&gt;=MAX(Q$3,$E39),EOMONTH(Q$3,0)&lt;=IF($F39="",Q$4,MIN(Q$4,$F39)))*1+AND(EOMONTH(Q$4,0)&lt;&gt;EOMONTH(Q$3,0),EOMONTH(Q$4,0)&gt;=MAX(Q$3,$E39),EOMONTH(Q$4,0)&lt;=IF($F39="",Q$4,MIN(Q$4,$F39)))*1),IF($G39=102,(AND(WORKDAY(EOMONTH(Q$3,0)+1,-3)&gt;=MAX(Q$3,$E39),WORKDAY(EOMONTH(Q$3,0)+1,-3)&lt;=IF($F39="",Q$4,MIN(Q$4,$F39)))*1+AND(WORKDAY(EOMONTH(Q$4,0)+1,-3)&lt;&gt;WORKDAY(EOMONTH(Q$3,0)+1,-3),WORKDAY(EOMONTH(Q$4,0)+1,-3)&gt;=MAX(Q$3,$E39),WORKDAY(EOMONTH(Q$4,0)+1,-3)&lt;=IF($F39="",Q$4,MIN(Q$4,$F39)))*1),IF(AND(IF(EDATE($E39,MAX(0,ROUNDUP(((YEAR(Q$3)-YEAR($E39))*12+MONTH(Q$3)-MONTH($E39))/$G39,0)*$G39))&lt;Q$3,EDATE($E39,MAX(0,ROUNDUP(((YEAR(Q$3)-YEAR($E39))*12+MONTH(Q$3)-MONTH($E39))/$G39,0)*$G39)+$G39),EDATE($E39,MAX(0,ROUNDUP(((YEAR(Q$3)-YEAR($E39))*12+MONTH(Q$3)-MONTH($E39))/$G39,0)*$G39)))&gt;=Q$3,IF(EDATE($E39,MAX(0,ROUNDUP(((YEAR(Q$3)-YEAR($E39))*12+MONTH(Q$3)-MONTH($E39))/$G39,0)*$G39))&lt;Q$3,EDATE($E39,MAX(0,ROUNDUP(((YEAR(Q$3)-YEAR($E39))*12+MONTH(Q$3)-MONTH($E39))/$G39,0)*$G39)+$G39),EDATE($E39,MAX(0,ROUNDUP(((YEAR(Q$3)-YEAR($E39))*12+MONTH(Q$3)-MONTH($E39))/$G39,0)*$G39)))&lt;=IF($F39="",Q$4,MIN(Q$4,$F39))),1,0)))))</f>
        <v>0</v>
      </c>
      <c r="R39" s="25" t="n">
        <f aca="false">IF(OR($C39="",$C39=0,$E39="",$B39="",$G39=-2),0,$C39*IF($G39=0,IF(IF($F39="",R$4,MIN(R$4,$F39))&lt;$E39,0,MAX(0,INT((IF($F39="",R$4,MIN(R$4,$F39))-$E39)/7)+1-MAX(0,ROUNDUP((R$3-$E39)/7,0)))),IF($G39=101,(AND(EOMONTH(R$3,0)&gt;=MAX(R$3,$E39),EOMONTH(R$3,0)&lt;=IF($F39="",R$4,MIN(R$4,$F39)))*1+AND(EOMONTH(R$4,0)&lt;&gt;EOMONTH(R$3,0),EOMONTH(R$4,0)&gt;=MAX(R$3,$E39),EOMONTH(R$4,0)&lt;=IF($F39="",R$4,MIN(R$4,$F39)))*1),IF($G39=102,(AND(WORKDAY(EOMONTH(R$3,0)+1,-3)&gt;=MAX(R$3,$E39),WORKDAY(EOMONTH(R$3,0)+1,-3)&lt;=IF($F39="",R$4,MIN(R$4,$F39)))*1+AND(WORKDAY(EOMONTH(R$4,0)+1,-3)&lt;&gt;WORKDAY(EOMONTH(R$3,0)+1,-3),WORKDAY(EOMONTH(R$4,0)+1,-3)&gt;=MAX(R$3,$E39),WORKDAY(EOMONTH(R$4,0)+1,-3)&lt;=IF($F39="",R$4,MIN(R$4,$F39)))*1),IF(AND(IF(EDATE($E39,MAX(0,ROUNDUP(((YEAR(R$3)-YEAR($E39))*12+MONTH(R$3)-MONTH($E39))/$G39,0)*$G39))&lt;R$3,EDATE($E39,MAX(0,ROUNDUP(((YEAR(R$3)-YEAR($E39))*12+MONTH(R$3)-MONTH($E39))/$G39,0)*$G39)+$G39),EDATE($E39,MAX(0,ROUNDUP(((YEAR(R$3)-YEAR($E39))*12+MONTH(R$3)-MONTH($E39))/$G39,0)*$G39)))&gt;=R$3,IF(EDATE($E39,MAX(0,ROUNDUP(((YEAR(R$3)-YEAR($E39))*12+MONTH(R$3)-MONTH($E39))/$G39,0)*$G39))&lt;R$3,EDATE($E39,MAX(0,ROUNDUP(((YEAR(R$3)-YEAR($E39))*12+MONTH(R$3)-MONTH($E39))/$G39,0)*$G39)+$G39),EDATE($E39,MAX(0,ROUNDUP(((YEAR(R$3)-YEAR($E39))*12+MONTH(R$3)-MONTH($E39))/$G39,0)*$G39)))&lt;=IF($F39="",R$4,MIN(R$4,$F39))),1,0)))))</f>
        <v>0</v>
      </c>
      <c r="S39" s="25" t="n">
        <f aca="false">IF(OR($C39="",$C39=0,$E39="",$B39="",$G39=-2),0,$C39*IF($G39=0,IF(IF($F39="",S$4,MIN(S$4,$F39))&lt;$E39,0,MAX(0,INT((IF($F39="",S$4,MIN(S$4,$F39))-$E39)/7)+1-MAX(0,ROUNDUP((S$3-$E39)/7,0)))),IF($G39=101,(AND(EOMONTH(S$3,0)&gt;=MAX(S$3,$E39),EOMONTH(S$3,0)&lt;=IF($F39="",S$4,MIN(S$4,$F39)))*1+AND(EOMONTH(S$4,0)&lt;&gt;EOMONTH(S$3,0),EOMONTH(S$4,0)&gt;=MAX(S$3,$E39),EOMONTH(S$4,0)&lt;=IF($F39="",S$4,MIN(S$4,$F39)))*1),IF($G39=102,(AND(WORKDAY(EOMONTH(S$3,0)+1,-3)&gt;=MAX(S$3,$E39),WORKDAY(EOMONTH(S$3,0)+1,-3)&lt;=IF($F39="",S$4,MIN(S$4,$F39)))*1+AND(WORKDAY(EOMONTH(S$4,0)+1,-3)&lt;&gt;WORKDAY(EOMONTH(S$3,0)+1,-3),WORKDAY(EOMONTH(S$4,0)+1,-3)&gt;=MAX(S$3,$E39),WORKDAY(EOMONTH(S$4,0)+1,-3)&lt;=IF($F39="",S$4,MIN(S$4,$F39)))*1),IF(AND(IF(EDATE($E39,MAX(0,ROUNDUP(((YEAR(S$3)-YEAR($E39))*12+MONTH(S$3)-MONTH($E39))/$G39,0)*$G39))&lt;S$3,EDATE($E39,MAX(0,ROUNDUP(((YEAR(S$3)-YEAR($E39))*12+MONTH(S$3)-MONTH($E39))/$G39,0)*$G39)+$G39),EDATE($E39,MAX(0,ROUNDUP(((YEAR(S$3)-YEAR($E39))*12+MONTH(S$3)-MONTH($E39))/$G39,0)*$G39)))&gt;=S$3,IF(EDATE($E39,MAX(0,ROUNDUP(((YEAR(S$3)-YEAR($E39))*12+MONTH(S$3)-MONTH($E39))/$G39,0)*$G39))&lt;S$3,EDATE($E39,MAX(0,ROUNDUP(((YEAR(S$3)-YEAR($E39))*12+MONTH(S$3)-MONTH($E39))/$G39,0)*$G39)+$G39),EDATE($E39,MAX(0,ROUNDUP(((YEAR(S$3)-YEAR($E39))*12+MONTH(S$3)-MONTH($E39))/$G39,0)*$G39)))&lt;=IF($F39="",S$4,MIN(S$4,$F39))),1,0)))))</f>
        <v>0</v>
      </c>
      <c r="T39" s="25" t="n">
        <f aca="false">IF(OR($C39="",$C39=0,$E39="",$B39="",$G39=-2),0,$C39*IF($G39=0,IF(IF($F39="",T$4,MIN(T$4,$F39))&lt;$E39,0,MAX(0,INT((IF($F39="",T$4,MIN(T$4,$F39))-$E39)/7)+1-MAX(0,ROUNDUP((T$3-$E39)/7,0)))),IF($G39=101,(AND(EOMONTH(T$3,0)&gt;=MAX(T$3,$E39),EOMONTH(T$3,0)&lt;=IF($F39="",T$4,MIN(T$4,$F39)))*1+AND(EOMONTH(T$4,0)&lt;&gt;EOMONTH(T$3,0),EOMONTH(T$4,0)&gt;=MAX(T$3,$E39),EOMONTH(T$4,0)&lt;=IF($F39="",T$4,MIN(T$4,$F39)))*1),IF($G39=102,(AND(WORKDAY(EOMONTH(T$3,0)+1,-3)&gt;=MAX(T$3,$E39),WORKDAY(EOMONTH(T$3,0)+1,-3)&lt;=IF($F39="",T$4,MIN(T$4,$F39)))*1+AND(WORKDAY(EOMONTH(T$4,0)+1,-3)&lt;&gt;WORKDAY(EOMONTH(T$3,0)+1,-3),WORKDAY(EOMONTH(T$4,0)+1,-3)&gt;=MAX(T$3,$E39),WORKDAY(EOMONTH(T$4,0)+1,-3)&lt;=IF($F39="",T$4,MIN(T$4,$F39)))*1),IF(AND(IF(EDATE($E39,MAX(0,ROUNDUP(((YEAR(T$3)-YEAR($E39))*12+MONTH(T$3)-MONTH($E39))/$G39,0)*$G39))&lt;T$3,EDATE($E39,MAX(0,ROUNDUP(((YEAR(T$3)-YEAR($E39))*12+MONTH(T$3)-MONTH($E39))/$G39,0)*$G39)+$G39),EDATE($E39,MAX(0,ROUNDUP(((YEAR(T$3)-YEAR($E39))*12+MONTH(T$3)-MONTH($E39))/$G39,0)*$G39)))&gt;=T$3,IF(EDATE($E39,MAX(0,ROUNDUP(((YEAR(T$3)-YEAR($E39))*12+MONTH(T$3)-MONTH($E39))/$G39,0)*$G39))&lt;T$3,EDATE($E39,MAX(0,ROUNDUP(((YEAR(T$3)-YEAR($E39))*12+MONTH(T$3)-MONTH($E39))/$G39,0)*$G39)+$G39),EDATE($E39,MAX(0,ROUNDUP(((YEAR(T$3)-YEAR($E39))*12+MONTH(T$3)-MONTH($E39))/$G39,0)*$G39)))&lt;=IF($F39="",T$4,MIN(T$4,$F39))),1,0)))))</f>
        <v>0</v>
      </c>
      <c r="U39" s="25" t="n">
        <f aca="false">IF(OR($C39="",$C39=0,$E39="",$B39="",$G39=-2),0,$C39*IF($G39=0,IF(IF($F39="",U$4,MIN(U$4,$F39))&lt;$E39,0,MAX(0,INT((IF($F39="",U$4,MIN(U$4,$F39))-$E39)/7)+1-MAX(0,ROUNDUP((U$3-$E39)/7,0)))),IF($G39=101,(AND(EOMONTH(U$3,0)&gt;=MAX(U$3,$E39),EOMONTH(U$3,0)&lt;=IF($F39="",U$4,MIN(U$4,$F39)))*1+AND(EOMONTH(U$4,0)&lt;&gt;EOMONTH(U$3,0),EOMONTH(U$4,0)&gt;=MAX(U$3,$E39),EOMONTH(U$4,0)&lt;=IF($F39="",U$4,MIN(U$4,$F39)))*1),IF($G39=102,(AND(WORKDAY(EOMONTH(U$3,0)+1,-3)&gt;=MAX(U$3,$E39),WORKDAY(EOMONTH(U$3,0)+1,-3)&lt;=IF($F39="",U$4,MIN(U$4,$F39)))*1+AND(WORKDAY(EOMONTH(U$4,0)+1,-3)&lt;&gt;WORKDAY(EOMONTH(U$3,0)+1,-3),WORKDAY(EOMONTH(U$4,0)+1,-3)&gt;=MAX(U$3,$E39),WORKDAY(EOMONTH(U$4,0)+1,-3)&lt;=IF($F39="",U$4,MIN(U$4,$F39)))*1),IF(AND(IF(EDATE($E39,MAX(0,ROUNDUP(((YEAR(U$3)-YEAR($E39))*12+MONTH(U$3)-MONTH($E39))/$G39,0)*$G39))&lt;U$3,EDATE($E39,MAX(0,ROUNDUP(((YEAR(U$3)-YEAR($E39))*12+MONTH(U$3)-MONTH($E39))/$G39,0)*$G39)+$G39),EDATE($E39,MAX(0,ROUNDUP(((YEAR(U$3)-YEAR($E39))*12+MONTH(U$3)-MONTH($E39))/$G39,0)*$G39)))&gt;=U$3,IF(EDATE($E39,MAX(0,ROUNDUP(((YEAR(U$3)-YEAR($E39))*12+MONTH(U$3)-MONTH($E39))/$G39,0)*$G39))&lt;U$3,EDATE($E39,MAX(0,ROUNDUP(((YEAR(U$3)-YEAR($E39))*12+MONTH(U$3)-MONTH($E39))/$G39,0)*$G39)+$G39),EDATE($E39,MAX(0,ROUNDUP(((YEAR(U$3)-YEAR($E39))*12+MONTH(U$3)-MONTH($E39))/$G39,0)*$G39)))&lt;=IF($F39="",U$4,MIN(U$4,$F39))),1,0)))))</f>
        <v>0</v>
      </c>
      <c r="V39" s="25" t="n">
        <f aca="false">IF(OR($C39="",$C39=0,$E39="",$B39="",$G39=-2),0,$C39*IF($G39=0,IF(IF($F39="",V$4,MIN(V$4,$F39))&lt;$E39,0,MAX(0,INT((IF($F39="",V$4,MIN(V$4,$F39))-$E39)/7)+1-MAX(0,ROUNDUP((V$3-$E39)/7,0)))),IF($G39=101,(AND(EOMONTH(V$3,0)&gt;=MAX(V$3,$E39),EOMONTH(V$3,0)&lt;=IF($F39="",V$4,MIN(V$4,$F39)))*1+AND(EOMONTH(V$4,0)&lt;&gt;EOMONTH(V$3,0),EOMONTH(V$4,0)&gt;=MAX(V$3,$E39),EOMONTH(V$4,0)&lt;=IF($F39="",V$4,MIN(V$4,$F39)))*1),IF($G39=102,(AND(WORKDAY(EOMONTH(V$3,0)+1,-3)&gt;=MAX(V$3,$E39),WORKDAY(EOMONTH(V$3,0)+1,-3)&lt;=IF($F39="",V$4,MIN(V$4,$F39)))*1+AND(WORKDAY(EOMONTH(V$4,0)+1,-3)&lt;&gt;WORKDAY(EOMONTH(V$3,0)+1,-3),WORKDAY(EOMONTH(V$4,0)+1,-3)&gt;=MAX(V$3,$E39),WORKDAY(EOMONTH(V$4,0)+1,-3)&lt;=IF($F39="",V$4,MIN(V$4,$F39)))*1),IF(AND(IF(EDATE($E39,MAX(0,ROUNDUP(((YEAR(V$3)-YEAR($E39))*12+MONTH(V$3)-MONTH($E39))/$G39,0)*$G39))&lt;V$3,EDATE($E39,MAX(0,ROUNDUP(((YEAR(V$3)-YEAR($E39))*12+MONTH(V$3)-MONTH($E39))/$G39,0)*$G39)+$G39),EDATE($E39,MAX(0,ROUNDUP(((YEAR(V$3)-YEAR($E39))*12+MONTH(V$3)-MONTH($E39))/$G39,0)*$G39)))&gt;=V$3,IF(EDATE($E39,MAX(0,ROUNDUP(((YEAR(V$3)-YEAR($E39))*12+MONTH(V$3)-MONTH($E39))/$G39,0)*$G39))&lt;V$3,EDATE($E39,MAX(0,ROUNDUP(((YEAR(V$3)-YEAR($E39))*12+MONTH(V$3)-MONTH($E39))/$G39,0)*$G39)+$G39),EDATE($E39,MAX(0,ROUNDUP(((YEAR(V$3)-YEAR($E39))*12+MONTH(V$3)-MONTH($E39))/$G39,0)*$G39)))&lt;=IF($F39="",V$4,MIN(V$4,$F39))),1,0)))))</f>
        <v>0</v>
      </c>
      <c r="W39" s="25" t="n">
        <f aca="false">IF(OR($C39="",$C39=0,$E39="",$B39="",$G39=-2),0,$C39*IF($G39=0,IF(IF($F39="",W$4,MIN(W$4,$F39))&lt;$E39,0,MAX(0,INT((IF($F39="",W$4,MIN(W$4,$F39))-$E39)/7)+1-MAX(0,ROUNDUP((W$3-$E39)/7,0)))),IF($G39=101,(AND(EOMONTH(W$3,0)&gt;=MAX(W$3,$E39),EOMONTH(W$3,0)&lt;=IF($F39="",W$4,MIN(W$4,$F39)))*1+AND(EOMONTH(W$4,0)&lt;&gt;EOMONTH(W$3,0),EOMONTH(W$4,0)&gt;=MAX(W$3,$E39),EOMONTH(W$4,0)&lt;=IF($F39="",W$4,MIN(W$4,$F39)))*1),IF($G39=102,(AND(WORKDAY(EOMONTH(W$3,0)+1,-3)&gt;=MAX(W$3,$E39),WORKDAY(EOMONTH(W$3,0)+1,-3)&lt;=IF($F39="",W$4,MIN(W$4,$F39)))*1+AND(WORKDAY(EOMONTH(W$4,0)+1,-3)&lt;&gt;WORKDAY(EOMONTH(W$3,0)+1,-3),WORKDAY(EOMONTH(W$4,0)+1,-3)&gt;=MAX(W$3,$E39),WORKDAY(EOMONTH(W$4,0)+1,-3)&lt;=IF($F39="",W$4,MIN(W$4,$F39)))*1),IF(AND(IF(EDATE($E39,MAX(0,ROUNDUP(((YEAR(W$3)-YEAR($E39))*12+MONTH(W$3)-MONTH($E39))/$G39,0)*$G39))&lt;W$3,EDATE($E39,MAX(0,ROUNDUP(((YEAR(W$3)-YEAR($E39))*12+MONTH(W$3)-MONTH($E39))/$G39,0)*$G39)+$G39),EDATE($E39,MAX(0,ROUNDUP(((YEAR(W$3)-YEAR($E39))*12+MONTH(W$3)-MONTH($E39))/$G39,0)*$G39)))&gt;=W$3,IF(EDATE($E39,MAX(0,ROUNDUP(((YEAR(W$3)-YEAR($E39))*12+MONTH(W$3)-MONTH($E39))/$G39,0)*$G39))&lt;W$3,EDATE($E39,MAX(0,ROUNDUP(((YEAR(W$3)-YEAR($E39))*12+MONTH(W$3)-MONTH($E39))/$G39,0)*$G39)+$G39),EDATE($E39,MAX(0,ROUNDUP(((YEAR(W$3)-YEAR($E39))*12+MONTH(W$3)-MONTH($E39))/$G39,0)*$G39)))&lt;=IF($F39="",W$4,MIN(W$4,$F39))),1,0)))))</f>
        <v>0</v>
      </c>
      <c r="X39" s="25" t="n">
        <f aca="false">IF(OR($C39="",$C39=0,$E39="",$B39="",$G39=-2),0,$C39*IF($G39=0,IF(IF($F39="",X$4,MIN(X$4,$F39))&lt;$E39,0,MAX(0,INT((IF($F39="",X$4,MIN(X$4,$F39))-$E39)/7)+1-MAX(0,ROUNDUP((X$3-$E39)/7,0)))),IF($G39=101,(AND(EOMONTH(X$3,0)&gt;=MAX(X$3,$E39),EOMONTH(X$3,0)&lt;=IF($F39="",X$4,MIN(X$4,$F39)))*1+AND(EOMONTH(X$4,0)&lt;&gt;EOMONTH(X$3,0),EOMONTH(X$4,0)&gt;=MAX(X$3,$E39),EOMONTH(X$4,0)&lt;=IF($F39="",X$4,MIN(X$4,$F39)))*1),IF($G39=102,(AND(WORKDAY(EOMONTH(X$3,0)+1,-3)&gt;=MAX(X$3,$E39),WORKDAY(EOMONTH(X$3,0)+1,-3)&lt;=IF($F39="",X$4,MIN(X$4,$F39)))*1+AND(WORKDAY(EOMONTH(X$4,0)+1,-3)&lt;&gt;WORKDAY(EOMONTH(X$3,0)+1,-3),WORKDAY(EOMONTH(X$4,0)+1,-3)&gt;=MAX(X$3,$E39),WORKDAY(EOMONTH(X$4,0)+1,-3)&lt;=IF($F39="",X$4,MIN(X$4,$F39)))*1),IF(AND(IF(EDATE($E39,MAX(0,ROUNDUP(((YEAR(X$3)-YEAR($E39))*12+MONTH(X$3)-MONTH($E39))/$G39,0)*$G39))&lt;X$3,EDATE($E39,MAX(0,ROUNDUP(((YEAR(X$3)-YEAR($E39))*12+MONTH(X$3)-MONTH($E39))/$G39,0)*$G39)+$G39),EDATE($E39,MAX(0,ROUNDUP(((YEAR(X$3)-YEAR($E39))*12+MONTH(X$3)-MONTH($E39))/$G39,0)*$G39)))&gt;=X$3,IF(EDATE($E39,MAX(0,ROUNDUP(((YEAR(X$3)-YEAR($E39))*12+MONTH(X$3)-MONTH($E39))/$G39,0)*$G39))&lt;X$3,EDATE($E39,MAX(0,ROUNDUP(((YEAR(X$3)-YEAR($E39))*12+MONTH(X$3)-MONTH($E39))/$G39,0)*$G39)+$G39),EDATE($E39,MAX(0,ROUNDUP(((YEAR(X$3)-YEAR($E39))*12+MONTH(X$3)-MONTH($E39))/$G39,0)*$G39)))&lt;=IF($F39="",X$4,MIN(X$4,$F39))),1,0)))))</f>
        <v>0</v>
      </c>
      <c r="Y39" s="25" t="n">
        <f aca="false">IF(OR($C39="",$C39=0,$E39="",$B39="",$G39=-2),0,$C39*IF($G39=0,IF(IF($F39="",Y$4,MIN(Y$4,$F39))&lt;$E39,0,MAX(0,INT((IF($F39="",Y$4,MIN(Y$4,$F39))-$E39)/7)+1-MAX(0,ROUNDUP((Y$3-$E39)/7,0)))),IF($G39=101,(AND(EOMONTH(Y$3,0)&gt;=MAX(Y$3,$E39),EOMONTH(Y$3,0)&lt;=IF($F39="",Y$4,MIN(Y$4,$F39)))*1+AND(EOMONTH(Y$4,0)&lt;&gt;EOMONTH(Y$3,0),EOMONTH(Y$4,0)&gt;=MAX(Y$3,$E39),EOMONTH(Y$4,0)&lt;=IF($F39="",Y$4,MIN(Y$4,$F39)))*1),IF($G39=102,(AND(WORKDAY(EOMONTH(Y$3,0)+1,-3)&gt;=MAX(Y$3,$E39),WORKDAY(EOMONTH(Y$3,0)+1,-3)&lt;=IF($F39="",Y$4,MIN(Y$4,$F39)))*1+AND(WORKDAY(EOMONTH(Y$4,0)+1,-3)&lt;&gt;WORKDAY(EOMONTH(Y$3,0)+1,-3),WORKDAY(EOMONTH(Y$4,0)+1,-3)&gt;=MAX(Y$3,$E39),WORKDAY(EOMONTH(Y$4,0)+1,-3)&lt;=IF($F39="",Y$4,MIN(Y$4,$F39)))*1),IF(AND(IF(EDATE($E39,MAX(0,ROUNDUP(((YEAR(Y$3)-YEAR($E39))*12+MONTH(Y$3)-MONTH($E39))/$G39,0)*$G39))&lt;Y$3,EDATE($E39,MAX(0,ROUNDUP(((YEAR(Y$3)-YEAR($E39))*12+MONTH(Y$3)-MONTH($E39))/$G39,0)*$G39)+$G39),EDATE($E39,MAX(0,ROUNDUP(((YEAR(Y$3)-YEAR($E39))*12+MONTH(Y$3)-MONTH($E39))/$G39,0)*$G39)))&gt;=Y$3,IF(EDATE($E39,MAX(0,ROUNDUP(((YEAR(Y$3)-YEAR($E39))*12+MONTH(Y$3)-MONTH($E39))/$G39,0)*$G39))&lt;Y$3,EDATE($E39,MAX(0,ROUNDUP(((YEAR(Y$3)-YEAR($E39))*12+MONTH(Y$3)-MONTH($E39))/$G39,0)*$G39)+$G39),EDATE($E39,MAX(0,ROUNDUP(((YEAR(Y$3)-YEAR($E39))*12+MONTH(Y$3)-MONTH($E39))/$G39,0)*$G39)))&lt;=IF($F39="",Y$4,MIN(Y$4,$F39))),1,0)))))</f>
        <v>0</v>
      </c>
      <c r="Z39" s="25" t="n">
        <f aca="false">IF(OR($C39="",$C39=0,$E39="",$B39="",$G39=-2),0,$C39*IF($G39=0,IF(IF($F39="",Z$4,MIN(Z$4,$F39))&lt;$E39,0,MAX(0,INT((IF($F39="",Z$4,MIN(Z$4,$F39))-$E39)/7)+1-MAX(0,ROUNDUP((Z$3-$E39)/7,0)))),IF($G39=101,(AND(EOMONTH(Z$3,0)&gt;=MAX(Z$3,$E39),EOMONTH(Z$3,0)&lt;=IF($F39="",Z$4,MIN(Z$4,$F39)))*1+AND(EOMONTH(Z$4,0)&lt;&gt;EOMONTH(Z$3,0),EOMONTH(Z$4,0)&gt;=MAX(Z$3,$E39),EOMONTH(Z$4,0)&lt;=IF($F39="",Z$4,MIN(Z$4,$F39)))*1),IF($G39=102,(AND(WORKDAY(EOMONTH(Z$3,0)+1,-3)&gt;=MAX(Z$3,$E39),WORKDAY(EOMONTH(Z$3,0)+1,-3)&lt;=IF($F39="",Z$4,MIN(Z$4,$F39)))*1+AND(WORKDAY(EOMONTH(Z$4,0)+1,-3)&lt;&gt;WORKDAY(EOMONTH(Z$3,0)+1,-3),WORKDAY(EOMONTH(Z$4,0)+1,-3)&gt;=MAX(Z$3,$E39),WORKDAY(EOMONTH(Z$4,0)+1,-3)&lt;=IF($F39="",Z$4,MIN(Z$4,$F39)))*1),IF(AND(IF(EDATE($E39,MAX(0,ROUNDUP(((YEAR(Z$3)-YEAR($E39))*12+MONTH(Z$3)-MONTH($E39))/$G39,0)*$G39))&lt;Z$3,EDATE($E39,MAX(0,ROUNDUP(((YEAR(Z$3)-YEAR($E39))*12+MONTH(Z$3)-MONTH($E39))/$G39,0)*$G39)+$G39),EDATE($E39,MAX(0,ROUNDUP(((YEAR(Z$3)-YEAR($E39))*12+MONTH(Z$3)-MONTH($E39))/$G39,0)*$G39)))&gt;=Z$3,IF(EDATE($E39,MAX(0,ROUNDUP(((YEAR(Z$3)-YEAR($E39))*12+MONTH(Z$3)-MONTH($E39))/$G39,0)*$G39))&lt;Z$3,EDATE($E39,MAX(0,ROUNDUP(((YEAR(Z$3)-YEAR($E39))*12+MONTH(Z$3)-MONTH($E39))/$G39,0)*$G39)+$G39),EDATE($E39,MAX(0,ROUNDUP(((YEAR(Z$3)-YEAR($E39))*12+MONTH(Z$3)-MONTH($E39))/$G39,0)*$G39)))&lt;=IF($F39="",Z$4,MIN(Z$4,$F39))),1,0)))))</f>
        <v>0</v>
      </c>
      <c r="AA39" s="25" t="n">
        <f aca="false">IF(OR($C39="",$C39=0,$E39="",$B39="",$G39=-2),0,$C39*IF($G39=0,IF(IF($F39="",AA$4,MIN(AA$4,$F39))&lt;$E39,0,MAX(0,INT((IF($F39="",AA$4,MIN(AA$4,$F39))-$E39)/7)+1-MAX(0,ROUNDUP((AA$3-$E39)/7,0)))),IF($G39=101,(AND(EOMONTH(AA$3,0)&gt;=MAX(AA$3,$E39),EOMONTH(AA$3,0)&lt;=IF($F39="",AA$4,MIN(AA$4,$F39)))*1+AND(EOMONTH(AA$4,0)&lt;&gt;EOMONTH(AA$3,0),EOMONTH(AA$4,0)&gt;=MAX(AA$3,$E39),EOMONTH(AA$4,0)&lt;=IF($F39="",AA$4,MIN(AA$4,$F39)))*1),IF($G39=102,(AND(WORKDAY(EOMONTH(AA$3,0)+1,-3)&gt;=MAX(AA$3,$E39),WORKDAY(EOMONTH(AA$3,0)+1,-3)&lt;=IF($F39="",AA$4,MIN(AA$4,$F39)))*1+AND(WORKDAY(EOMONTH(AA$4,0)+1,-3)&lt;&gt;WORKDAY(EOMONTH(AA$3,0)+1,-3),WORKDAY(EOMONTH(AA$4,0)+1,-3)&gt;=MAX(AA$3,$E39),WORKDAY(EOMONTH(AA$4,0)+1,-3)&lt;=IF($F39="",AA$4,MIN(AA$4,$F39)))*1),IF(AND(IF(EDATE($E39,MAX(0,ROUNDUP(((YEAR(AA$3)-YEAR($E39))*12+MONTH(AA$3)-MONTH($E39))/$G39,0)*$G39))&lt;AA$3,EDATE($E39,MAX(0,ROUNDUP(((YEAR(AA$3)-YEAR($E39))*12+MONTH(AA$3)-MONTH($E39))/$G39,0)*$G39)+$G39),EDATE($E39,MAX(0,ROUNDUP(((YEAR(AA$3)-YEAR($E39))*12+MONTH(AA$3)-MONTH($E39))/$G39,0)*$G39)))&gt;=AA$3,IF(EDATE($E39,MAX(0,ROUNDUP(((YEAR(AA$3)-YEAR($E39))*12+MONTH(AA$3)-MONTH($E39))/$G39,0)*$G39))&lt;AA$3,EDATE($E39,MAX(0,ROUNDUP(((YEAR(AA$3)-YEAR($E39))*12+MONTH(AA$3)-MONTH($E39))/$G39,0)*$G39)+$G39),EDATE($E39,MAX(0,ROUNDUP(((YEAR(AA$3)-YEAR($E39))*12+MONTH(AA$3)-MONTH($E39))/$G39,0)*$G39)))&lt;=IF($F39="",AA$4,MIN(AA$4,$F39))),1,0)))))</f>
        <v>0</v>
      </c>
      <c r="AB39" s="25" t="n">
        <f aca="false">IF(OR($C39="",$C39=0,$E39="",$B39="",$G39=-2),0,$C39*IF($G39=0,IF(IF($F39="",AB$4,MIN(AB$4,$F39))&lt;$E39,0,MAX(0,INT((IF($F39="",AB$4,MIN(AB$4,$F39))-$E39)/7)+1-MAX(0,ROUNDUP((AB$3-$E39)/7,0)))),IF($G39=101,(AND(EOMONTH(AB$3,0)&gt;=MAX(AB$3,$E39),EOMONTH(AB$3,0)&lt;=IF($F39="",AB$4,MIN(AB$4,$F39)))*1+AND(EOMONTH(AB$4,0)&lt;&gt;EOMONTH(AB$3,0),EOMONTH(AB$4,0)&gt;=MAX(AB$3,$E39),EOMONTH(AB$4,0)&lt;=IF($F39="",AB$4,MIN(AB$4,$F39)))*1),IF($G39=102,(AND(WORKDAY(EOMONTH(AB$3,0)+1,-3)&gt;=MAX(AB$3,$E39),WORKDAY(EOMONTH(AB$3,0)+1,-3)&lt;=IF($F39="",AB$4,MIN(AB$4,$F39)))*1+AND(WORKDAY(EOMONTH(AB$4,0)+1,-3)&lt;&gt;WORKDAY(EOMONTH(AB$3,0)+1,-3),WORKDAY(EOMONTH(AB$4,0)+1,-3)&gt;=MAX(AB$3,$E39),WORKDAY(EOMONTH(AB$4,0)+1,-3)&lt;=IF($F39="",AB$4,MIN(AB$4,$F39)))*1),IF(AND(IF(EDATE($E39,MAX(0,ROUNDUP(((YEAR(AB$3)-YEAR($E39))*12+MONTH(AB$3)-MONTH($E39))/$G39,0)*$G39))&lt;AB$3,EDATE($E39,MAX(0,ROUNDUP(((YEAR(AB$3)-YEAR($E39))*12+MONTH(AB$3)-MONTH($E39))/$G39,0)*$G39)+$G39),EDATE($E39,MAX(0,ROUNDUP(((YEAR(AB$3)-YEAR($E39))*12+MONTH(AB$3)-MONTH($E39))/$G39,0)*$G39)))&gt;=AB$3,IF(EDATE($E39,MAX(0,ROUNDUP(((YEAR(AB$3)-YEAR($E39))*12+MONTH(AB$3)-MONTH($E39))/$G39,0)*$G39))&lt;AB$3,EDATE($E39,MAX(0,ROUNDUP(((YEAR(AB$3)-YEAR($E39))*12+MONTH(AB$3)-MONTH($E39))/$G39,0)*$G39)+$G39),EDATE($E39,MAX(0,ROUNDUP(((YEAR(AB$3)-YEAR($E39))*12+MONTH(AB$3)-MONTH($E39))/$G39,0)*$G39)))&lt;=IF($F39="",AB$4,MIN(AB$4,$F39))),1,0)))))</f>
        <v>0</v>
      </c>
      <c r="AC39" s="25" t="n">
        <f aca="false">IF(OR($C39="",$C39=0,$E39="",$B39="",$G39=-2),0,$C39*IF($G39=0,IF(IF($F39="",AC$4,MIN(AC$4,$F39))&lt;$E39,0,MAX(0,INT((IF($F39="",AC$4,MIN(AC$4,$F39))-$E39)/7)+1-MAX(0,ROUNDUP((AC$3-$E39)/7,0)))),IF($G39=101,(AND(EOMONTH(AC$3,0)&gt;=MAX(AC$3,$E39),EOMONTH(AC$3,0)&lt;=IF($F39="",AC$4,MIN(AC$4,$F39)))*1+AND(EOMONTH(AC$4,0)&lt;&gt;EOMONTH(AC$3,0),EOMONTH(AC$4,0)&gt;=MAX(AC$3,$E39),EOMONTH(AC$4,0)&lt;=IF($F39="",AC$4,MIN(AC$4,$F39)))*1),IF($G39=102,(AND(WORKDAY(EOMONTH(AC$3,0)+1,-3)&gt;=MAX(AC$3,$E39),WORKDAY(EOMONTH(AC$3,0)+1,-3)&lt;=IF($F39="",AC$4,MIN(AC$4,$F39)))*1+AND(WORKDAY(EOMONTH(AC$4,0)+1,-3)&lt;&gt;WORKDAY(EOMONTH(AC$3,0)+1,-3),WORKDAY(EOMONTH(AC$4,0)+1,-3)&gt;=MAX(AC$3,$E39),WORKDAY(EOMONTH(AC$4,0)+1,-3)&lt;=IF($F39="",AC$4,MIN(AC$4,$F39)))*1),IF(AND(IF(EDATE($E39,MAX(0,ROUNDUP(((YEAR(AC$3)-YEAR($E39))*12+MONTH(AC$3)-MONTH($E39))/$G39,0)*$G39))&lt;AC$3,EDATE($E39,MAX(0,ROUNDUP(((YEAR(AC$3)-YEAR($E39))*12+MONTH(AC$3)-MONTH($E39))/$G39,0)*$G39)+$G39),EDATE($E39,MAX(0,ROUNDUP(((YEAR(AC$3)-YEAR($E39))*12+MONTH(AC$3)-MONTH($E39))/$G39,0)*$G39)))&gt;=AC$3,IF(EDATE($E39,MAX(0,ROUNDUP(((YEAR(AC$3)-YEAR($E39))*12+MONTH(AC$3)-MONTH($E39))/$G39,0)*$G39))&lt;AC$3,EDATE($E39,MAX(0,ROUNDUP(((YEAR(AC$3)-YEAR($E39))*12+MONTH(AC$3)-MONTH($E39))/$G39,0)*$G39)+$G39),EDATE($E39,MAX(0,ROUNDUP(((YEAR(AC$3)-YEAR($E39))*12+MONTH(AC$3)-MONTH($E39))/$G39,0)*$G39)))&lt;=IF($F39="",AC$4,MIN(AC$4,$F39))),1,0)))))</f>
        <v>0</v>
      </c>
      <c r="AD39" s="25" t="n">
        <f aca="false">IF(OR($C39="",$C39=0,$E39="",$B39="",$G39=-2),0,$C39*IF($G39=0,IF(IF($F39="",AD$4,MIN(AD$4,$F39))&lt;$E39,0,MAX(0,INT((IF($F39="",AD$4,MIN(AD$4,$F39))-$E39)/7)+1-MAX(0,ROUNDUP((AD$3-$E39)/7,0)))),IF($G39=101,(AND(EOMONTH(AD$3,0)&gt;=MAX(AD$3,$E39),EOMONTH(AD$3,0)&lt;=IF($F39="",AD$4,MIN(AD$4,$F39)))*1+AND(EOMONTH(AD$4,0)&lt;&gt;EOMONTH(AD$3,0),EOMONTH(AD$4,0)&gt;=MAX(AD$3,$E39),EOMONTH(AD$4,0)&lt;=IF($F39="",AD$4,MIN(AD$4,$F39)))*1),IF($G39=102,(AND(WORKDAY(EOMONTH(AD$3,0)+1,-3)&gt;=MAX(AD$3,$E39),WORKDAY(EOMONTH(AD$3,0)+1,-3)&lt;=IF($F39="",AD$4,MIN(AD$4,$F39)))*1+AND(WORKDAY(EOMONTH(AD$4,0)+1,-3)&lt;&gt;WORKDAY(EOMONTH(AD$3,0)+1,-3),WORKDAY(EOMONTH(AD$4,0)+1,-3)&gt;=MAX(AD$3,$E39),WORKDAY(EOMONTH(AD$4,0)+1,-3)&lt;=IF($F39="",AD$4,MIN(AD$4,$F39)))*1),IF(AND(IF(EDATE($E39,MAX(0,ROUNDUP(((YEAR(AD$3)-YEAR($E39))*12+MONTH(AD$3)-MONTH($E39))/$G39,0)*$G39))&lt;AD$3,EDATE($E39,MAX(0,ROUNDUP(((YEAR(AD$3)-YEAR($E39))*12+MONTH(AD$3)-MONTH($E39))/$G39,0)*$G39)+$G39),EDATE($E39,MAX(0,ROUNDUP(((YEAR(AD$3)-YEAR($E39))*12+MONTH(AD$3)-MONTH($E39))/$G39,0)*$G39)))&gt;=AD$3,IF(EDATE($E39,MAX(0,ROUNDUP(((YEAR(AD$3)-YEAR($E39))*12+MONTH(AD$3)-MONTH($E39))/$G39,0)*$G39))&lt;AD$3,EDATE($E39,MAX(0,ROUNDUP(((YEAR(AD$3)-YEAR($E39))*12+MONTH(AD$3)-MONTH($E39))/$G39,0)*$G39)+$G39),EDATE($E39,MAX(0,ROUNDUP(((YEAR(AD$3)-YEAR($E39))*12+MONTH(AD$3)-MONTH($E39))/$G39,0)*$G39)))&lt;=IF($F39="",AD$4,MIN(AD$4,$F39))),1,0)))))</f>
        <v>0</v>
      </c>
      <c r="AE39" s="25" t="n">
        <f aca="false">IF(OR($C39="",$C39=0,$E39="",$B39="",$G39=-2),0,$C39*IF($G39=0,IF(IF($F39="",AE$4,MIN(AE$4,$F39))&lt;$E39,0,MAX(0,INT((IF($F39="",AE$4,MIN(AE$4,$F39))-$E39)/7)+1-MAX(0,ROUNDUP((AE$3-$E39)/7,0)))),IF($G39=101,(AND(EOMONTH(AE$3,0)&gt;=MAX(AE$3,$E39),EOMONTH(AE$3,0)&lt;=IF($F39="",AE$4,MIN(AE$4,$F39)))*1+AND(EOMONTH(AE$4,0)&lt;&gt;EOMONTH(AE$3,0),EOMONTH(AE$4,0)&gt;=MAX(AE$3,$E39),EOMONTH(AE$4,0)&lt;=IF($F39="",AE$4,MIN(AE$4,$F39)))*1),IF($G39=102,(AND(WORKDAY(EOMONTH(AE$3,0)+1,-3)&gt;=MAX(AE$3,$E39),WORKDAY(EOMONTH(AE$3,0)+1,-3)&lt;=IF($F39="",AE$4,MIN(AE$4,$F39)))*1+AND(WORKDAY(EOMONTH(AE$4,0)+1,-3)&lt;&gt;WORKDAY(EOMONTH(AE$3,0)+1,-3),WORKDAY(EOMONTH(AE$4,0)+1,-3)&gt;=MAX(AE$3,$E39),WORKDAY(EOMONTH(AE$4,0)+1,-3)&lt;=IF($F39="",AE$4,MIN(AE$4,$F39)))*1),IF(AND(IF(EDATE($E39,MAX(0,ROUNDUP(((YEAR(AE$3)-YEAR($E39))*12+MONTH(AE$3)-MONTH($E39))/$G39,0)*$G39))&lt;AE$3,EDATE($E39,MAX(0,ROUNDUP(((YEAR(AE$3)-YEAR($E39))*12+MONTH(AE$3)-MONTH($E39))/$G39,0)*$G39)+$G39),EDATE($E39,MAX(0,ROUNDUP(((YEAR(AE$3)-YEAR($E39))*12+MONTH(AE$3)-MONTH($E39))/$G39,0)*$G39)))&gt;=AE$3,IF(EDATE($E39,MAX(0,ROUNDUP(((YEAR(AE$3)-YEAR($E39))*12+MONTH(AE$3)-MONTH($E39))/$G39,0)*$G39))&lt;AE$3,EDATE($E39,MAX(0,ROUNDUP(((YEAR(AE$3)-YEAR($E39))*12+MONTH(AE$3)-MONTH($E39))/$G39,0)*$G39)+$G39),EDATE($E39,MAX(0,ROUNDUP(((YEAR(AE$3)-YEAR($E39))*12+MONTH(AE$3)-MONTH($E39))/$G39,0)*$G39)))&lt;=IF($F39="",AE$4,MIN(AE$4,$F39))),1,0)))))</f>
        <v>0</v>
      </c>
      <c r="AF39" s="25" t="n">
        <f aca="false">IF(OR($C39="",$C39=0,$E39="",$B39="",$G39=-2),0,$C39*IF($G39=0,IF(IF($F39="",AF$4,MIN(AF$4,$F39))&lt;$E39,0,MAX(0,INT((IF($F39="",AF$4,MIN(AF$4,$F39))-$E39)/7)+1-MAX(0,ROUNDUP((AF$3-$E39)/7,0)))),IF($G39=101,(AND(EOMONTH(AF$3,0)&gt;=MAX(AF$3,$E39),EOMONTH(AF$3,0)&lt;=IF($F39="",AF$4,MIN(AF$4,$F39)))*1+AND(EOMONTH(AF$4,0)&lt;&gt;EOMONTH(AF$3,0),EOMONTH(AF$4,0)&gt;=MAX(AF$3,$E39),EOMONTH(AF$4,0)&lt;=IF($F39="",AF$4,MIN(AF$4,$F39)))*1),IF($G39=102,(AND(WORKDAY(EOMONTH(AF$3,0)+1,-3)&gt;=MAX(AF$3,$E39),WORKDAY(EOMONTH(AF$3,0)+1,-3)&lt;=IF($F39="",AF$4,MIN(AF$4,$F39)))*1+AND(WORKDAY(EOMONTH(AF$4,0)+1,-3)&lt;&gt;WORKDAY(EOMONTH(AF$3,0)+1,-3),WORKDAY(EOMONTH(AF$4,0)+1,-3)&gt;=MAX(AF$3,$E39),WORKDAY(EOMONTH(AF$4,0)+1,-3)&lt;=IF($F39="",AF$4,MIN(AF$4,$F39)))*1),IF(AND(IF(EDATE($E39,MAX(0,ROUNDUP(((YEAR(AF$3)-YEAR($E39))*12+MONTH(AF$3)-MONTH($E39))/$G39,0)*$G39))&lt;AF$3,EDATE($E39,MAX(0,ROUNDUP(((YEAR(AF$3)-YEAR($E39))*12+MONTH(AF$3)-MONTH($E39))/$G39,0)*$G39)+$G39),EDATE($E39,MAX(0,ROUNDUP(((YEAR(AF$3)-YEAR($E39))*12+MONTH(AF$3)-MONTH($E39))/$G39,0)*$G39)))&gt;=AF$3,IF(EDATE($E39,MAX(0,ROUNDUP(((YEAR(AF$3)-YEAR($E39))*12+MONTH(AF$3)-MONTH($E39))/$G39,0)*$G39))&lt;AF$3,EDATE($E39,MAX(0,ROUNDUP(((YEAR(AF$3)-YEAR($E39))*12+MONTH(AF$3)-MONTH($E39))/$G39,0)*$G39)+$G39),EDATE($E39,MAX(0,ROUNDUP(((YEAR(AF$3)-YEAR($E39))*12+MONTH(AF$3)-MONTH($E39))/$G39,0)*$G39)))&lt;=IF($F39="",AF$4,MIN(AF$4,$F39))),1,0)))))</f>
        <v>0</v>
      </c>
    </row>
    <row r="40" customFormat="false" ht="15" hidden="false" customHeight="false" outlineLevel="0" collapsed="false">
      <c r="A40" s="5"/>
      <c r="B40" s="5"/>
      <c r="C40" s="8"/>
      <c r="D40" s="5"/>
      <c r="E40" s="7"/>
      <c r="F40" s="7"/>
      <c r="G40" s="24" t="n">
        <f aca="false">IFERROR(INDEX(Listen!$E$2:$E$8,MATCH(D40,Listen!$D$2:$D$8,0)),-2)</f>
        <v>-2</v>
      </c>
      <c r="H40" s="25" t="n">
        <f aca="false">IF(OR($C40="",$C40=0,$E40="",$B40="",$G40=-2),0,$C40*IF($G40=0,IF(IF($F40="",H$4,MIN(H$4,$F40))&lt;$E40,0,MAX(0,INT((IF($F40="",H$4,MIN(H$4,$F40))-$E40)/7)+1-MAX(0,ROUNDUP((H$3-$E40)/7,0)))),IF($G40=101,(AND(EOMONTH(H$3,0)&gt;=MAX(H$3,$E40),EOMONTH(H$3,0)&lt;=IF($F40="",H$4,MIN(H$4,$F40)))*1+AND(EOMONTH(H$4,0)&lt;&gt;EOMONTH(H$3,0),EOMONTH(H$4,0)&gt;=MAX(H$3,$E40),EOMONTH(H$4,0)&lt;=IF($F40="",H$4,MIN(H$4,$F40)))*1),IF($G40=102,(AND(WORKDAY(EOMONTH(H$3,0)+1,-3)&gt;=MAX(H$3,$E40),WORKDAY(EOMONTH(H$3,0)+1,-3)&lt;=IF($F40="",H$4,MIN(H$4,$F40)))*1+AND(WORKDAY(EOMONTH(H$4,0)+1,-3)&lt;&gt;WORKDAY(EOMONTH(H$3,0)+1,-3),WORKDAY(EOMONTH(H$4,0)+1,-3)&gt;=MAX(H$3,$E40),WORKDAY(EOMONTH(H$4,0)+1,-3)&lt;=IF($F40="",H$4,MIN(H$4,$F40)))*1),IF(AND(IF(EDATE($E40,MAX(0,ROUNDUP(((YEAR(H$3)-YEAR($E40))*12+MONTH(H$3)-MONTH($E40))/$G40,0)*$G40))&lt;H$3,EDATE($E40,MAX(0,ROUNDUP(((YEAR(H$3)-YEAR($E40))*12+MONTH(H$3)-MONTH($E40))/$G40,0)*$G40)+$G40),EDATE($E40,MAX(0,ROUNDUP(((YEAR(H$3)-YEAR($E40))*12+MONTH(H$3)-MONTH($E40))/$G40,0)*$G40)))&gt;=H$3,IF(EDATE($E40,MAX(0,ROUNDUP(((YEAR(H$3)-YEAR($E40))*12+MONTH(H$3)-MONTH($E40))/$G40,0)*$G40))&lt;H$3,EDATE($E40,MAX(0,ROUNDUP(((YEAR(H$3)-YEAR($E40))*12+MONTH(H$3)-MONTH($E40))/$G40,0)*$G40)+$G40),EDATE($E40,MAX(0,ROUNDUP(((YEAR(H$3)-YEAR($E40))*12+MONTH(H$3)-MONTH($E40))/$G40,0)*$G40)))&lt;=IF($F40="",H$4,MIN(H$4,$F40))),1,0)))))</f>
        <v>0</v>
      </c>
      <c r="I40" s="25" t="n">
        <f aca="false">IF(OR($C40="",$C40=0,$E40="",$B40="",$G40=-2),0,$C40*IF($G40=0,IF(IF($F40="",I$4,MIN(I$4,$F40))&lt;$E40,0,MAX(0,INT((IF($F40="",I$4,MIN(I$4,$F40))-$E40)/7)+1-MAX(0,ROUNDUP((I$3-$E40)/7,0)))),IF($G40=101,(AND(EOMONTH(I$3,0)&gt;=MAX(I$3,$E40),EOMONTH(I$3,0)&lt;=IF($F40="",I$4,MIN(I$4,$F40)))*1+AND(EOMONTH(I$4,0)&lt;&gt;EOMONTH(I$3,0),EOMONTH(I$4,0)&gt;=MAX(I$3,$E40),EOMONTH(I$4,0)&lt;=IF($F40="",I$4,MIN(I$4,$F40)))*1),IF($G40=102,(AND(WORKDAY(EOMONTH(I$3,0)+1,-3)&gt;=MAX(I$3,$E40),WORKDAY(EOMONTH(I$3,0)+1,-3)&lt;=IF($F40="",I$4,MIN(I$4,$F40)))*1+AND(WORKDAY(EOMONTH(I$4,0)+1,-3)&lt;&gt;WORKDAY(EOMONTH(I$3,0)+1,-3),WORKDAY(EOMONTH(I$4,0)+1,-3)&gt;=MAX(I$3,$E40),WORKDAY(EOMONTH(I$4,0)+1,-3)&lt;=IF($F40="",I$4,MIN(I$4,$F40)))*1),IF(AND(IF(EDATE($E40,MAX(0,ROUNDUP(((YEAR(I$3)-YEAR($E40))*12+MONTH(I$3)-MONTH($E40))/$G40,0)*$G40))&lt;I$3,EDATE($E40,MAX(0,ROUNDUP(((YEAR(I$3)-YEAR($E40))*12+MONTH(I$3)-MONTH($E40))/$G40,0)*$G40)+$G40),EDATE($E40,MAX(0,ROUNDUP(((YEAR(I$3)-YEAR($E40))*12+MONTH(I$3)-MONTH($E40))/$G40,0)*$G40)))&gt;=I$3,IF(EDATE($E40,MAX(0,ROUNDUP(((YEAR(I$3)-YEAR($E40))*12+MONTH(I$3)-MONTH($E40))/$G40,0)*$G40))&lt;I$3,EDATE($E40,MAX(0,ROUNDUP(((YEAR(I$3)-YEAR($E40))*12+MONTH(I$3)-MONTH($E40))/$G40,0)*$G40)+$G40),EDATE($E40,MAX(0,ROUNDUP(((YEAR(I$3)-YEAR($E40))*12+MONTH(I$3)-MONTH($E40))/$G40,0)*$G40)))&lt;=IF($F40="",I$4,MIN(I$4,$F40))),1,0)))))</f>
        <v>0</v>
      </c>
      <c r="J40" s="25" t="n">
        <f aca="false">IF(OR($C40="",$C40=0,$E40="",$B40="",$G40=-2),0,$C40*IF($G40=0,IF(IF($F40="",J$4,MIN(J$4,$F40))&lt;$E40,0,MAX(0,INT((IF($F40="",J$4,MIN(J$4,$F40))-$E40)/7)+1-MAX(0,ROUNDUP((J$3-$E40)/7,0)))),IF($G40=101,(AND(EOMONTH(J$3,0)&gt;=MAX(J$3,$E40),EOMONTH(J$3,0)&lt;=IF($F40="",J$4,MIN(J$4,$F40)))*1+AND(EOMONTH(J$4,0)&lt;&gt;EOMONTH(J$3,0),EOMONTH(J$4,0)&gt;=MAX(J$3,$E40),EOMONTH(J$4,0)&lt;=IF($F40="",J$4,MIN(J$4,$F40)))*1),IF($G40=102,(AND(WORKDAY(EOMONTH(J$3,0)+1,-3)&gt;=MAX(J$3,$E40),WORKDAY(EOMONTH(J$3,0)+1,-3)&lt;=IF($F40="",J$4,MIN(J$4,$F40)))*1+AND(WORKDAY(EOMONTH(J$4,0)+1,-3)&lt;&gt;WORKDAY(EOMONTH(J$3,0)+1,-3),WORKDAY(EOMONTH(J$4,0)+1,-3)&gt;=MAX(J$3,$E40),WORKDAY(EOMONTH(J$4,0)+1,-3)&lt;=IF($F40="",J$4,MIN(J$4,$F40)))*1),IF(AND(IF(EDATE($E40,MAX(0,ROUNDUP(((YEAR(J$3)-YEAR($E40))*12+MONTH(J$3)-MONTH($E40))/$G40,0)*$G40))&lt;J$3,EDATE($E40,MAX(0,ROUNDUP(((YEAR(J$3)-YEAR($E40))*12+MONTH(J$3)-MONTH($E40))/$G40,0)*$G40)+$G40),EDATE($E40,MAX(0,ROUNDUP(((YEAR(J$3)-YEAR($E40))*12+MONTH(J$3)-MONTH($E40))/$G40,0)*$G40)))&gt;=J$3,IF(EDATE($E40,MAX(0,ROUNDUP(((YEAR(J$3)-YEAR($E40))*12+MONTH(J$3)-MONTH($E40))/$G40,0)*$G40))&lt;J$3,EDATE($E40,MAX(0,ROUNDUP(((YEAR(J$3)-YEAR($E40))*12+MONTH(J$3)-MONTH($E40))/$G40,0)*$G40)+$G40),EDATE($E40,MAX(0,ROUNDUP(((YEAR(J$3)-YEAR($E40))*12+MONTH(J$3)-MONTH($E40))/$G40,0)*$G40)))&lt;=IF($F40="",J$4,MIN(J$4,$F40))),1,0)))))</f>
        <v>0</v>
      </c>
      <c r="K40" s="25" t="n">
        <f aca="false">IF(OR($C40="",$C40=0,$E40="",$B40="",$G40=-2),0,$C40*IF($G40=0,IF(IF($F40="",K$4,MIN(K$4,$F40))&lt;$E40,0,MAX(0,INT((IF($F40="",K$4,MIN(K$4,$F40))-$E40)/7)+1-MAX(0,ROUNDUP((K$3-$E40)/7,0)))),IF($G40=101,(AND(EOMONTH(K$3,0)&gt;=MAX(K$3,$E40),EOMONTH(K$3,0)&lt;=IF($F40="",K$4,MIN(K$4,$F40)))*1+AND(EOMONTH(K$4,0)&lt;&gt;EOMONTH(K$3,0),EOMONTH(K$4,0)&gt;=MAX(K$3,$E40),EOMONTH(K$4,0)&lt;=IF($F40="",K$4,MIN(K$4,$F40)))*1),IF($G40=102,(AND(WORKDAY(EOMONTH(K$3,0)+1,-3)&gt;=MAX(K$3,$E40),WORKDAY(EOMONTH(K$3,0)+1,-3)&lt;=IF($F40="",K$4,MIN(K$4,$F40)))*1+AND(WORKDAY(EOMONTH(K$4,0)+1,-3)&lt;&gt;WORKDAY(EOMONTH(K$3,0)+1,-3),WORKDAY(EOMONTH(K$4,0)+1,-3)&gt;=MAX(K$3,$E40),WORKDAY(EOMONTH(K$4,0)+1,-3)&lt;=IF($F40="",K$4,MIN(K$4,$F40)))*1),IF(AND(IF(EDATE($E40,MAX(0,ROUNDUP(((YEAR(K$3)-YEAR($E40))*12+MONTH(K$3)-MONTH($E40))/$G40,0)*$G40))&lt;K$3,EDATE($E40,MAX(0,ROUNDUP(((YEAR(K$3)-YEAR($E40))*12+MONTH(K$3)-MONTH($E40))/$G40,0)*$G40)+$G40),EDATE($E40,MAX(0,ROUNDUP(((YEAR(K$3)-YEAR($E40))*12+MONTH(K$3)-MONTH($E40))/$G40,0)*$G40)))&gt;=K$3,IF(EDATE($E40,MAX(0,ROUNDUP(((YEAR(K$3)-YEAR($E40))*12+MONTH(K$3)-MONTH($E40))/$G40,0)*$G40))&lt;K$3,EDATE($E40,MAX(0,ROUNDUP(((YEAR(K$3)-YEAR($E40))*12+MONTH(K$3)-MONTH($E40))/$G40,0)*$G40)+$G40),EDATE($E40,MAX(0,ROUNDUP(((YEAR(K$3)-YEAR($E40))*12+MONTH(K$3)-MONTH($E40))/$G40,0)*$G40)))&lt;=IF($F40="",K$4,MIN(K$4,$F40))),1,0)))))</f>
        <v>0</v>
      </c>
      <c r="L40" s="25" t="n">
        <f aca="false">IF(OR($C40="",$C40=0,$E40="",$B40="",$G40=-2),0,$C40*IF($G40=0,IF(IF($F40="",L$4,MIN(L$4,$F40))&lt;$E40,0,MAX(0,INT((IF($F40="",L$4,MIN(L$4,$F40))-$E40)/7)+1-MAX(0,ROUNDUP((L$3-$E40)/7,0)))),IF($G40=101,(AND(EOMONTH(L$3,0)&gt;=MAX(L$3,$E40),EOMONTH(L$3,0)&lt;=IF($F40="",L$4,MIN(L$4,$F40)))*1+AND(EOMONTH(L$4,0)&lt;&gt;EOMONTH(L$3,0),EOMONTH(L$4,0)&gt;=MAX(L$3,$E40),EOMONTH(L$4,0)&lt;=IF($F40="",L$4,MIN(L$4,$F40)))*1),IF($G40=102,(AND(WORKDAY(EOMONTH(L$3,0)+1,-3)&gt;=MAX(L$3,$E40),WORKDAY(EOMONTH(L$3,0)+1,-3)&lt;=IF($F40="",L$4,MIN(L$4,$F40)))*1+AND(WORKDAY(EOMONTH(L$4,0)+1,-3)&lt;&gt;WORKDAY(EOMONTH(L$3,0)+1,-3),WORKDAY(EOMONTH(L$4,0)+1,-3)&gt;=MAX(L$3,$E40),WORKDAY(EOMONTH(L$4,0)+1,-3)&lt;=IF($F40="",L$4,MIN(L$4,$F40)))*1),IF(AND(IF(EDATE($E40,MAX(0,ROUNDUP(((YEAR(L$3)-YEAR($E40))*12+MONTH(L$3)-MONTH($E40))/$G40,0)*$G40))&lt;L$3,EDATE($E40,MAX(0,ROUNDUP(((YEAR(L$3)-YEAR($E40))*12+MONTH(L$3)-MONTH($E40))/$G40,0)*$G40)+$G40),EDATE($E40,MAX(0,ROUNDUP(((YEAR(L$3)-YEAR($E40))*12+MONTH(L$3)-MONTH($E40))/$G40,0)*$G40)))&gt;=L$3,IF(EDATE($E40,MAX(0,ROUNDUP(((YEAR(L$3)-YEAR($E40))*12+MONTH(L$3)-MONTH($E40))/$G40,0)*$G40))&lt;L$3,EDATE($E40,MAX(0,ROUNDUP(((YEAR(L$3)-YEAR($E40))*12+MONTH(L$3)-MONTH($E40))/$G40,0)*$G40)+$G40),EDATE($E40,MAX(0,ROUNDUP(((YEAR(L$3)-YEAR($E40))*12+MONTH(L$3)-MONTH($E40))/$G40,0)*$G40)))&lt;=IF($F40="",L$4,MIN(L$4,$F40))),1,0)))))</f>
        <v>0</v>
      </c>
      <c r="M40" s="25" t="n">
        <f aca="false">IF(OR($C40="",$C40=0,$E40="",$B40="",$G40=-2),0,$C40*IF($G40=0,IF(IF($F40="",M$4,MIN(M$4,$F40))&lt;$E40,0,MAX(0,INT((IF($F40="",M$4,MIN(M$4,$F40))-$E40)/7)+1-MAX(0,ROUNDUP((M$3-$E40)/7,0)))),IF($G40=101,(AND(EOMONTH(M$3,0)&gt;=MAX(M$3,$E40),EOMONTH(M$3,0)&lt;=IF($F40="",M$4,MIN(M$4,$F40)))*1+AND(EOMONTH(M$4,0)&lt;&gt;EOMONTH(M$3,0),EOMONTH(M$4,0)&gt;=MAX(M$3,$E40),EOMONTH(M$4,0)&lt;=IF($F40="",M$4,MIN(M$4,$F40)))*1),IF($G40=102,(AND(WORKDAY(EOMONTH(M$3,0)+1,-3)&gt;=MAX(M$3,$E40),WORKDAY(EOMONTH(M$3,0)+1,-3)&lt;=IF($F40="",M$4,MIN(M$4,$F40)))*1+AND(WORKDAY(EOMONTH(M$4,0)+1,-3)&lt;&gt;WORKDAY(EOMONTH(M$3,0)+1,-3),WORKDAY(EOMONTH(M$4,0)+1,-3)&gt;=MAX(M$3,$E40),WORKDAY(EOMONTH(M$4,0)+1,-3)&lt;=IF($F40="",M$4,MIN(M$4,$F40)))*1),IF(AND(IF(EDATE($E40,MAX(0,ROUNDUP(((YEAR(M$3)-YEAR($E40))*12+MONTH(M$3)-MONTH($E40))/$G40,0)*$G40))&lt;M$3,EDATE($E40,MAX(0,ROUNDUP(((YEAR(M$3)-YEAR($E40))*12+MONTH(M$3)-MONTH($E40))/$G40,0)*$G40)+$G40),EDATE($E40,MAX(0,ROUNDUP(((YEAR(M$3)-YEAR($E40))*12+MONTH(M$3)-MONTH($E40))/$G40,0)*$G40)))&gt;=M$3,IF(EDATE($E40,MAX(0,ROUNDUP(((YEAR(M$3)-YEAR($E40))*12+MONTH(M$3)-MONTH($E40))/$G40,0)*$G40))&lt;M$3,EDATE($E40,MAX(0,ROUNDUP(((YEAR(M$3)-YEAR($E40))*12+MONTH(M$3)-MONTH($E40))/$G40,0)*$G40)+$G40),EDATE($E40,MAX(0,ROUNDUP(((YEAR(M$3)-YEAR($E40))*12+MONTH(M$3)-MONTH($E40))/$G40,0)*$G40)))&lt;=IF($F40="",M$4,MIN(M$4,$F40))),1,0)))))</f>
        <v>0</v>
      </c>
      <c r="N40" s="25" t="n">
        <f aca="false">IF(OR($C40="",$C40=0,$E40="",$B40="",$G40=-2),0,$C40*IF($G40=0,IF(IF($F40="",N$4,MIN(N$4,$F40))&lt;$E40,0,MAX(0,INT((IF($F40="",N$4,MIN(N$4,$F40))-$E40)/7)+1-MAX(0,ROUNDUP((N$3-$E40)/7,0)))),IF($G40=101,(AND(EOMONTH(N$3,0)&gt;=MAX(N$3,$E40),EOMONTH(N$3,0)&lt;=IF($F40="",N$4,MIN(N$4,$F40)))*1+AND(EOMONTH(N$4,0)&lt;&gt;EOMONTH(N$3,0),EOMONTH(N$4,0)&gt;=MAX(N$3,$E40),EOMONTH(N$4,0)&lt;=IF($F40="",N$4,MIN(N$4,$F40)))*1),IF($G40=102,(AND(WORKDAY(EOMONTH(N$3,0)+1,-3)&gt;=MAX(N$3,$E40),WORKDAY(EOMONTH(N$3,0)+1,-3)&lt;=IF($F40="",N$4,MIN(N$4,$F40)))*1+AND(WORKDAY(EOMONTH(N$4,0)+1,-3)&lt;&gt;WORKDAY(EOMONTH(N$3,0)+1,-3),WORKDAY(EOMONTH(N$4,0)+1,-3)&gt;=MAX(N$3,$E40),WORKDAY(EOMONTH(N$4,0)+1,-3)&lt;=IF($F40="",N$4,MIN(N$4,$F40)))*1),IF(AND(IF(EDATE($E40,MAX(0,ROUNDUP(((YEAR(N$3)-YEAR($E40))*12+MONTH(N$3)-MONTH($E40))/$G40,0)*$G40))&lt;N$3,EDATE($E40,MAX(0,ROUNDUP(((YEAR(N$3)-YEAR($E40))*12+MONTH(N$3)-MONTH($E40))/$G40,0)*$G40)+$G40),EDATE($E40,MAX(0,ROUNDUP(((YEAR(N$3)-YEAR($E40))*12+MONTH(N$3)-MONTH($E40))/$G40,0)*$G40)))&gt;=N$3,IF(EDATE($E40,MAX(0,ROUNDUP(((YEAR(N$3)-YEAR($E40))*12+MONTH(N$3)-MONTH($E40))/$G40,0)*$G40))&lt;N$3,EDATE($E40,MAX(0,ROUNDUP(((YEAR(N$3)-YEAR($E40))*12+MONTH(N$3)-MONTH($E40))/$G40,0)*$G40)+$G40),EDATE($E40,MAX(0,ROUNDUP(((YEAR(N$3)-YEAR($E40))*12+MONTH(N$3)-MONTH($E40))/$G40,0)*$G40)))&lt;=IF($F40="",N$4,MIN(N$4,$F40))),1,0)))))</f>
        <v>0</v>
      </c>
      <c r="O40" s="25" t="n">
        <f aca="false">IF(OR($C40="",$C40=0,$E40="",$B40="",$G40=-2),0,$C40*IF($G40=0,IF(IF($F40="",O$4,MIN(O$4,$F40))&lt;$E40,0,MAX(0,INT((IF($F40="",O$4,MIN(O$4,$F40))-$E40)/7)+1-MAX(0,ROUNDUP((O$3-$E40)/7,0)))),IF($G40=101,(AND(EOMONTH(O$3,0)&gt;=MAX(O$3,$E40),EOMONTH(O$3,0)&lt;=IF($F40="",O$4,MIN(O$4,$F40)))*1+AND(EOMONTH(O$4,0)&lt;&gt;EOMONTH(O$3,0),EOMONTH(O$4,0)&gt;=MAX(O$3,$E40),EOMONTH(O$4,0)&lt;=IF($F40="",O$4,MIN(O$4,$F40)))*1),IF($G40=102,(AND(WORKDAY(EOMONTH(O$3,0)+1,-3)&gt;=MAX(O$3,$E40),WORKDAY(EOMONTH(O$3,0)+1,-3)&lt;=IF($F40="",O$4,MIN(O$4,$F40)))*1+AND(WORKDAY(EOMONTH(O$4,0)+1,-3)&lt;&gt;WORKDAY(EOMONTH(O$3,0)+1,-3),WORKDAY(EOMONTH(O$4,0)+1,-3)&gt;=MAX(O$3,$E40),WORKDAY(EOMONTH(O$4,0)+1,-3)&lt;=IF($F40="",O$4,MIN(O$4,$F40)))*1),IF(AND(IF(EDATE($E40,MAX(0,ROUNDUP(((YEAR(O$3)-YEAR($E40))*12+MONTH(O$3)-MONTH($E40))/$G40,0)*$G40))&lt;O$3,EDATE($E40,MAX(0,ROUNDUP(((YEAR(O$3)-YEAR($E40))*12+MONTH(O$3)-MONTH($E40))/$G40,0)*$G40)+$G40),EDATE($E40,MAX(0,ROUNDUP(((YEAR(O$3)-YEAR($E40))*12+MONTH(O$3)-MONTH($E40))/$G40,0)*$G40)))&gt;=O$3,IF(EDATE($E40,MAX(0,ROUNDUP(((YEAR(O$3)-YEAR($E40))*12+MONTH(O$3)-MONTH($E40))/$G40,0)*$G40))&lt;O$3,EDATE($E40,MAX(0,ROUNDUP(((YEAR(O$3)-YEAR($E40))*12+MONTH(O$3)-MONTH($E40))/$G40,0)*$G40)+$G40),EDATE($E40,MAX(0,ROUNDUP(((YEAR(O$3)-YEAR($E40))*12+MONTH(O$3)-MONTH($E40))/$G40,0)*$G40)))&lt;=IF($F40="",O$4,MIN(O$4,$F40))),1,0)))))</f>
        <v>0</v>
      </c>
      <c r="P40" s="25" t="n">
        <f aca="false">IF(OR($C40="",$C40=0,$E40="",$B40="",$G40=-2),0,$C40*IF($G40=0,IF(IF($F40="",P$4,MIN(P$4,$F40))&lt;$E40,0,MAX(0,INT((IF($F40="",P$4,MIN(P$4,$F40))-$E40)/7)+1-MAX(0,ROUNDUP((P$3-$E40)/7,0)))),IF($G40=101,(AND(EOMONTH(P$3,0)&gt;=MAX(P$3,$E40),EOMONTH(P$3,0)&lt;=IF($F40="",P$4,MIN(P$4,$F40)))*1+AND(EOMONTH(P$4,0)&lt;&gt;EOMONTH(P$3,0),EOMONTH(P$4,0)&gt;=MAX(P$3,$E40),EOMONTH(P$4,0)&lt;=IF($F40="",P$4,MIN(P$4,$F40)))*1),IF($G40=102,(AND(WORKDAY(EOMONTH(P$3,0)+1,-3)&gt;=MAX(P$3,$E40),WORKDAY(EOMONTH(P$3,0)+1,-3)&lt;=IF($F40="",P$4,MIN(P$4,$F40)))*1+AND(WORKDAY(EOMONTH(P$4,0)+1,-3)&lt;&gt;WORKDAY(EOMONTH(P$3,0)+1,-3),WORKDAY(EOMONTH(P$4,0)+1,-3)&gt;=MAX(P$3,$E40),WORKDAY(EOMONTH(P$4,0)+1,-3)&lt;=IF($F40="",P$4,MIN(P$4,$F40)))*1),IF(AND(IF(EDATE($E40,MAX(0,ROUNDUP(((YEAR(P$3)-YEAR($E40))*12+MONTH(P$3)-MONTH($E40))/$G40,0)*$G40))&lt;P$3,EDATE($E40,MAX(0,ROUNDUP(((YEAR(P$3)-YEAR($E40))*12+MONTH(P$3)-MONTH($E40))/$G40,0)*$G40)+$G40),EDATE($E40,MAX(0,ROUNDUP(((YEAR(P$3)-YEAR($E40))*12+MONTH(P$3)-MONTH($E40))/$G40,0)*$G40)))&gt;=P$3,IF(EDATE($E40,MAX(0,ROUNDUP(((YEAR(P$3)-YEAR($E40))*12+MONTH(P$3)-MONTH($E40))/$G40,0)*$G40))&lt;P$3,EDATE($E40,MAX(0,ROUNDUP(((YEAR(P$3)-YEAR($E40))*12+MONTH(P$3)-MONTH($E40))/$G40,0)*$G40)+$G40),EDATE($E40,MAX(0,ROUNDUP(((YEAR(P$3)-YEAR($E40))*12+MONTH(P$3)-MONTH($E40))/$G40,0)*$G40)))&lt;=IF($F40="",P$4,MIN(P$4,$F40))),1,0)))))</f>
        <v>0</v>
      </c>
      <c r="Q40" s="25" t="n">
        <f aca="false">IF(OR($C40="",$C40=0,$E40="",$B40="",$G40=-2),0,$C40*IF($G40=0,IF(IF($F40="",Q$4,MIN(Q$4,$F40))&lt;$E40,0,MAX(0,INT((IF($F40="",Q$4,MIN(Q$4,$F40))-$E40)/7)+1-MAX(0,ROUNDUP((Q$3-$E40)/7,0)))),IF($G40=101,(AND(EOMONTH(Q$3,0)&gt;=MAX(Q$3,$E40),EOMONTH(Q$3,0)&lt;=IF($F40="",Q$4,MIN(Q$4,$F40)))*1+AND(EOMONTH(Q$4,0)&lt;&gt;EOMONTH(Q$3,0),EOMONTH(Q$4,0)&gt;=MAX(Q$3,$E40),EOMONTH(Q$4,0)&lt;=IF($F40="",Q$4,MIN(Q$4,$F40)))*1),IF($G40=102,(AND(WORKDAY(EOMONTH(Q$3,0)+1,-3)&gt;=MAX(Q$3,$E40),WORKDAY(EOMONTH(Q$3,0)+1,-3)&lt;=IF($F40="",Q$4,MIN(Q$4,$F40)))*1+AND(WORKDAY(EOMONTH(Q$4,0)+1,-3)&lt;&gt;WORKDAY(EOMONTH(Q$3,0)+1,-3),WORKDAY(EOMONTH(Q$4,0)+1,-3)&gt;=MAX(Q$3,$E40),WORKDAY(EOMONTH(Q$4,0)+1,-3)&lt;=IF($F40="",Q$4,MIN(Q$4,$F40)))*1),IF(AND(IF(EDATE($E40,MAX(0,ROUNDUP(((YEAR(Q$3)-YEAR($E40))*12+MONTH(Q$3)-MONTH($E40))/$G40,0)*$G40))&lt;Q$3,EDATE($E40,MAX(0,ROUNDUP(((YEAR(Q$3)-YEAR($E40))*12+MONTH(Q$3)-MONTH($E40))/$G40,0)*$G40)+$G40),EDATE($E40,MAX(0,ROUNDUP(((YEAR(Q$3)-YEAR($E40))*12+MONTH(Q$3)-MONTH($E40))/$G40,0)*$G40)))&gt;=Q$3,IF(EDATE($E40,MAX(0,ROUNDUP(((YEAR(Q$3)-YEAR($E40))*12+MONTH(Q$3)-MONTH($E40))/$G40,0)*$G40))&lt;Q$3,EDATE($E40,MAX(0,ROUNDUP(((YEAR(Q$3)-YEAR($E40))*12+MONTH(Q$3)-MONTH($E40))/$G40,0)*$G40)+$G40),EDATE($E40,MAX(0,ROUNDUP(((YEAR(Q$3)-YEAR($E40))*12+MONTH(Q$3)-MONTH($E40))/$G40,0)*$G40)))&lt;=IF($F40="",Q$4,MIN(Q$4,$F40))),1,0)))))</f>
        <v>0</v>
      </c>
      <c r="R40" s="25" t="n">
        <f aca="false">IF(OR($C40="",$C40=0,$E40="",$B40="",$G40=-2),0,$C40*IF($G40=0,IF(IF($F40="",R$4,MIN(R$4,$F40))&lt;$E40,0,MAX(0,INT((IF($F40="",R$4,MIN(R$4,$F40))-$E40)/7)+1-MAX(0,ROUNDUP((R$3-$E40)/7,0)))),IF($G40=101,(AND(EOMONTH(R$3,0)&gt;=MAX(R$3,$E40),EOMONTH(R$3,0)&lt;=IF($F40="",R$4,MIN(R$4,$F40)))*1+AND(EOMONTH(R$4,0)&lt;&gt;EOMONTH(R$3,0),EOMONTH(R$4,0)&gt;=MAX(R$3,$E40),EOMONTH(R$4,0)&lt;=IF($F40="",R$4,MIN(R$4,$F40)))*1),IF($G40=102,(AND(WORKDAY(EOMONTH(R$3,0)+1,-3)&gt;=MAX(R$3,$E40),WORKDAY(EOMONTH(R$3,0)+1,-3)&lt;=IF($F40="",R$4,MIN(R$4,$F40)))*1+AND(WORKDAY(EOMONTH(R$4,0)+1,-3)&lt;&gt;WORKDAY(EOMONTH(R$3,0)+1,-3),WORKDAY(EOMONTH(R$4,0)+1,-3)&gt;=MAX(R$3,$E40),WORKDAY(EOMONTH(R$4,0)+1,-3)&lt;=IF($F40="",R$4,MIN(R$4,$F40)))*1),IF(AND(IF(EDATE($E40,MAX(0,ROUNDUP(((YEAR(R$3)-YEAR($E40))*12+MONTH(R$3)-MONTH($E40))/$G40,0)*$G40))&lt;R$3,EDATE($E40,MAX(0,ROUNDUP(((YEAR(R$3)-YEAR($E40))*12+MONTH(R$3)-MONTH($E40))/$G40,0)*$G40)+$G40),EDATE($E40,MAX(0,ROUNDUP(((YEAR(R$3)-YEAR($E40))*12+MONTH(R$3)-MONTH($E40))/$G40,0)*$G40)))&gt;=R$3,IF(EDATE($E40,MAX(0,ROUNDUP(((YEAR(R$3)-YEAR($E40))*12+MONTH(R$3)-MONTH($E40))/$G40,0)*$G40))&lt;R$3,EDATE($E40,MAX(0,ROUNDUP(((YEAR(R$3)-YEAR($E40))*12+MONTH(R$3)-MONTH($E40))/$G40,0)*$G40)+$G40),EDATE($E40,MAX(0,ROUNDUP(((YEAR(R$3)-YEAR($E40))*12+MONTH(R$3)-MONTH($E40))/$G40,0)*$G40)))&lt;=IF($F40="",R$4,MIN(R$4,$F40))),1,0)))))</f>
        <v>0</v>
      </c>
      <c r="S40" s="25" t="n">
        <f aca="false">IF(OR($C40="",$C40=0,$E40="",$B40="",$G40=-2),0,$C40*IF($G40=0,IF(IF($F40="",S$4,MIN(S$4,$F40))&lt;$E40,0,MAX(0,INT((IF($F40="",S$4,MIN(S$4,$F40))-$E40)/7)+1-MAX(0,ROUNDUP((S$3-$E40)/7,0)))),IF($G40=101,(AND(EOMONTH(S$3,0)&gt;=MAX(S$3,$E40),EOMONTH(S$3,0)&lt;=IF($F40="",S$4,MIN(S$4,$F40)))*1+AND(EOMONTH(S$4,0)&lt;&gt;EOMONTH(S$3,0),EOMONTH(S$4,0)&gt;=MAX(S$3,$E40),EOMONTH(S$4,0)&lt;=IF($F40="",S$4,MIN(S$4,$F40)))*1),IF($G40=102,(AND(WORKDAY(EOMONTH(S$3,0)+1,-3)&gt;=MAX(S$3,$E40),WORKDAY(EOMONTH(S$3,0)+1,-3)&lt;=IF($F40="",S$4,MIN(S$4,$F40)))*1+AND(WORKDAY(EOMONTH(S$4,0)+1,-3)&lt;&gt;WORKDAY(EOMONTH(S$3,0)+1,-3),WORKDAY(EOMONTH(S$4,0)+1,-3)&gt;=MAX(S$3,$E40),WORKDAY(EOMONTH(S$4,0)+1,-3)&lt;=IF($F40="",S$4,MIN(S$4,$F40)))*1),IF(AND(IF(EDATE($E40,MAX(0,ROUNDUP(((YEAR(S$3)-YEAR($E40))*12+MONTH(S$3)-MONTH($E40))/$G40,0)*$G40))&lt;S$3,EDATE($E40,MAX(0,ROUNDUP(((YEAR(S$3)-YEAR($E40))*12+MONTH(S$3)-MONTH($E40))/$G40,0)*$G40)+$G40),EDATE($E40,MAX(0,ROUNDUP(((YEAR(S$3)-YEAR($E40))*12+MONTH(S$3)-MONTH($E40))/$G40,0)*$G40)))&gt;=S$3,IF(EDATE($E40,MAX(0,ROUNDUP(((YEAR(S$3)-YEAR($E40))*12+MONTH(S$3)-MONTH($E40))/$G40,0)*$G40))&lt;S$3,EDATE($E40,MAX(0,ROUNDUP(((YEAR(S$3)-YEAR($E40))*12+MONTH(S$3)-MONTH($E40))/$G40,0)*$G40)+$G40),EDATE($E40,MAX(0,ROUNDUP(((YEAR(S$3)-YEAR($E40))*12+MONTH(S$3)-MONTH($E40))/$G40,0)*$G40)))&lt;=IF($F40="",S$4,MIN(S$4,$F40))),1,0)))))</f>
        <v>0</v>
      </c>
      <c r="T40" s="25" t="n">
        <f aca="false">IF(OR($C40="",$C40=0,$E40="",$B40="",$G40=-2),0,$C40*IF($G40=0,IF(IF($F40="",T$4,MIN(T$4,$F40))&lt;$E40,0,MAX(0,INT((IF($F40="",T$4,MIN(T$4,$F40))-$E40)/7)+1-MAX(0,ROUNDUP((T$3-$E40)/7,0)))),IF($G40=101,(AND(EOMONTH(T$3,0)&gt;=MAX(T$3,$E40),EOMONTH(T$3,0)&lt;=IF($F40="",T$4,MIN(T$4,$F40)))*1+AND(EOMONTH(T$4,0)&lt;&gt;EOMONTH(T$3,0),EOMONTH(T$4,0)&gt;=MAX(T$3,$E40),EOMONTH(T$4,0)&lt;=IF($F40="",T$4,MIN(T$4,$F40)))*1),IF($G40=102,(AND(WORKDAY(EOMONTH(T$3,0)+1,-3)&gt;=MAX(T$3,$E40),WORKDAY(EOMONTH(T$3,0)+1,-3)&lt;=IF($F40="",T$4,MIN(T$4,$F40)))*1+AND(WORKDAY(EOMONTH(T$4,0)+1,-3)&lt;&gt;WORKDAY(EOMONTH(T$3,0)+1,-3),WORKDAY(EOMONTH(T$4,0)+1,-3)&gt;=MAX(T$3,$E40),WORKDAY(EOMONTH(T$4,0)+1,-3)&lt;=IF($F40="",T$4,MIN(T$4,$F40)))*1),IF(AND(IF(EDATE($E40,MAX(0,ROUNDUP(((YEAR(T$3)-YEAR($E40))*12+MONTH(T$3)-MONTH($E40))/$G40,0)*$G40))&lt;T$3,EDATE($E40,MAX(0,ROUNDUP(((YEAR(T$3)-YEAR($E40))*12+MONTH(T$3)-MONTH($E40))/$G40,0)*$G40)+$G40),EDATE($E40,MAX(0,ROUNDUP(((YEAR(T$3)-YEAR($E40))*12+MONTH(T$3)-MONTH($E40))/$G40,0)*$G40)))&gt;=T$3,IF(EDATE($E40,MAX(0,ROUNDUP(((YEAR(T$3)-YEAR($E40))*12+MONTH(T$3)-MONTH($E40))/$G40,0)*$G40))&lt;T$3,EDATE($E40,MAX(0,ROUNDUP(((YEAR(T$3)-YEAR($E40))*12+MONTH(T$3)-MONTH($E40))/$G40,0)*$G40)+$G40),EDATE($E40,MAX(0,ROUNDUP(((YEAR(T$3)-YEAR($E40))*12+MONTH(T$3)-MONTH($E40))/$G40,0)*$G40)))&lt;=IF($F40="",T$4,MIN(T$4,$F40))),1,0)))))</f>
        <v>0</v>
      </c>
      <c r="U40" s="25" t="n">
        <f aca="false">IF(OR($C40="",$C40=0,$E40="",$B40="",$G40=-2),0,$C40*IF($G40=0,IF(IF($F40="",U$4,MIN(U$4,$F40))&lt;$E40,0,MAX(0,INT((IF($F40="",U$4,MIN(U$4,$F40))-$E40)/7)+1-MAX(0,ROUNDUP((U$3-$E40)/7,0)))),IF($G40=101,(AND(EOMONTH(U$3,0)&gt;=MAX(U$3,$E40),EOMONTH(U$3,0)&lt;=IF($F40="",U$4,MIN(U$4,$F40)))*1+AND(EOMONTH(U$4,0)&lt;&gt;EOMONTH(U$3,0),EOMONTH(U$4,0)&gt;=MAX(U$3,$E40),EOMONTH(U$4,0)&lt;=IF($F40="",U$4,MIN(U$4,$F40)))*1),IF($G40=102,(AND(WORKDAY(EOMONTH(U$3,0)+1,-3)&gt;=MAX(U$3,$E40),WORKDAY(EOMONTH(U$3,0)+1,-3)&lt;=IF($F40="",U$4,MIN(U$4,$F40)))*1+AND(WORKDAY(EOMONTH(U$4,0)+1,-3)&lt;&gt;WORKDAY(EOMONTH(U$3,0)+1,-3),WORKDAY(EOMONTH(U$4,0)+1,-3)&gt;=MAX(U$3,$E40),WORKDAY(EOMONTH(U$4,0)+1,-3)&lt;=IF($F40="",U$4,MIN(U$4,$F40)))*1),IF(AND(IF(EDATE($E40,MAX(0,ROUNDUP(((YEAR(U$3)-YEAR($E40))*12+MONTH(U$3)-MONTH($E40))/$G40,0)*$G40))&lt;U$3,EDATE($E40,MAX(0,ROUNDUP(((YEAR(U$3)-YEAR($E40))*12+MONTH(U$3)-MONTH($E40))/$G40,0)*$G40)+$G40),EDATE($E40,MAX(0,ROUNDUP(((YEAR(U$3)-YEAR($E40))*12+MONTH(U$3)-MONTH($E40))/$G40,0)*$G40)))&gt;=U$3,IF(EDATE($E40,MAX(0,ROUNDUP(((YEAR(U$3)-YEAR($E40))*12+MONTH(U$3)-MONTH($E40))/$G40,0)*$G40))&lt;U$3,EDATE($E40,MAX(0,ROUNDUP(((YEAR(U$3)-YEAR($E40))*12+MONTH(U$3)-MONTH($E40))/$G40,0)*$G40)+$G40),EDATE($E40,MAX(0,ROUNDUP(((YEAR(U$3)-YEAR($E40))*12+MONTH(U$3)-MONTH($E40))/$G40,0)*$G40)))&lt;=IF($F40="",U$4,MIN(U$4,$F40))),1,0)))))</f>
        <v>0</v>
      </c>
      <c r="V40" s="25" t="n">
        <f aca="false">IF(OR($C40="",$C40=0,$E40="",$B40="",$G40=-2),0,$C40*IF($G40=0,IF(IF($F40="",V$4,MIN(V$4,$F40))&lt;$E40,0,MAX(0,INT((IF($F40="",V$4,MIN(V$4,$F40))-$E40)/7)+1-MAX(0,ROUNDUP((V$3-$E40)/7,0)))),IF($G40=101,(AND(EOMONTH(V$3,0)&gt;=MAX(V$3,$E40),EOMONTH(V$3,0)&lt;=IF($F40="",V$4,MIN(V$4,$F40)))*1+AND(EOMONTH(V$4,0)&lt;&gt;EOMONTH(V$3,0),EOMONTH(V$4,0)&gt;=MAX(V$3,$E40),EOMONTH(V$4,0)&lt;=IF($F40="",V$4,MIN(V$4,$F40)))*1),IF($G40=102,(AND(WORKDAY(EOMONTH(V$3,0)+1,-3)&gt;=MAX(V$3,$E40),WORKDAY(EOMONTH(V$3,0)+1,-3)&lt;=IF($F40="",V$4,MIN(V$4,$F40)))*1+AND(WORKDAY(EOMONTH(V$4,0)+1,-3)&lt;&gt;WORKDAY(EOMONTH(V$3,0)+1,-3),WORKDAY(EOMONTH(V$4,0)+1,-3)&gt;=MAX(V$3,$E40),WORKDAY(EOMONTH(V$4,0)+1,-3)&lt;=IF($F40="",V$4,MIN(V$4,$F40)))*1),IF(AND(IF(EDATE($E40,MAX(0,ROUNDUP(((YEAR(V$3)-YEAR($E40))*12+MONTH(V$3)-MONTH($E40))/$G40,0)*$G40))&lt;V$3,EDATE($E40,MAX(0,ROUNDUP(((YEAR(V$3)-YEAR($E40))*12+MONTH(V$3)-MONTH($E40))/$G40,0)*$G40)+$G40),EDATE($E40,MAX(0,ROUNDUP(((YEAR(V$3)-YEAR($E40))*12+MONTH(V$3)-MONTH($E40))/$G40,0)*$G40)))&gt;=V$3,IF(EDATE($E40,MAX(0,ROUNDUP(((YEAR(V$3)-YEAR($E40))*12+MONTH(V$3)-MONTH($E40))/$G40,0)*$G40))&lt;V$3,EDATE($E40,MAX(0,ROUNDUP(((YEAR(V$3)-YEAR($E40))*12+MONTH(V$3)-MONTH($E40))/$G40,0)*$G40)+$G40),EDATE($E40,MAX(0,ROUNDUP(((YEAR(V$3)-YEAR($E40))*12+MONTH(V$3)-MONTH($E40))/$G40,0)*$G40)))&lt;=IF($F40="",V$4,MIN(V$4,$F40))),1,0)))))</f>
        <v>0</v>
      </c>
      <c r="W40" s="25" t="n">
        <f aca="false">IF(OR($C40="",$C40=0,$E40="",$B40="",$G40=-2),0,$C40*IF($G40=0,IF(IF($F40="",W$4,MIN(W$4,$F40))&lt;$E40,0,MAX(0,INT((IF($F40="",W$4,MIN(W$4,$F40))-$E40)/7)+1-MAX(0,ROUNDUP((W$3-$E40)/7,0)))),IF($G40=101,(AND(EOMONTH(W$3,0)&gt;=MAX(W$3,$E40),EOMONTH(W$3,0)&lt;=IF($F40="",W$4,MIN(W$4,$F40)))*1+AND(EOMONTH(W$4,0)&lt;&gt;EOMONTH(W$3,0),EOMONTH(W$4,0)&gt;=MAX(W$3,$E40),EOMONTH(W$4,0)&lt;=IF($F40="",W$4,MIN(W$4,$F40)))*1),IF($G40=102,(AND(WORKDAY(EOMONTH(W$3,0)+1,-3)&gt;=MAX(W$3,$E40),WORKDAY(EOMONTH(W$3,0)+1,-3)&lt;=IF($F40="",W$4,MIN(W$4,$F40)))*1+AND(WORKDAY(EOMONTH(W$4,0)+1,-3)&lt;&gt;WORKDAY(EOMONTH(W$3,0)+1,-3),WORKDAY(EOMONTH(W$4,0)+1,-3)&gt;=MAX(W$3,$E40),WORKDAY(EOMONTH(W$4,0)+1,-3)&lt;=IF($F40="",W$4,MIN(W$4,$F40)))*1),IF(AND(IF(EDATE($E40,MAX(0,ROUNDUP(((YEAR(W$3)-YEAR($E40))*12+MONTH(W$3)-MONTH($E40))/$G40,0)*$G40))&lt;W$3,EDATE($E40,MAX(0,ROUNDUP(((YEAR(W$3)-YEAR($E40))*12+MONTH(W$3)-MONTH($E40))/$G40,0)*$G40)+$G40),EDATE($E40,MAX(0,ROUNDUP(((YEAR(W$3)-YEAR($E40))*12+MONTH(W$3)-MONTH($E40))/$G40,0)*$G40)))&gt;=W$3,IF(EDATE($E40,MAX(0,ROUNDUP(((YEAR(W$3)-YEAR($E40))*12+MONTH(W$3)-MONTH($E40))/$G40,0)*$G40))&lt;W$3,EDATE($E40,MAX(0,ROUNDUP(((YEAR(W$3)-YEAR($E40))*12+MONTH(W$3)-MONTH($E40))/$G40,0)*$G40)+$G40),EDATE($E40,MAX(0,ROUNDUP(((YEAR(W$3)-YEAR($E40))*12+MONTH(W$3)-MONTH($E40))/$G40,0)*$G40)))&lt;=IF($F40="",W$4,MIN(W$4,$F40))),1,0)))))</f>
        <v>0</v>
      </c>
      <c r="X40" s="25" t="n">
        <f aca="false">IF(OR($C40="",$C40=0,$E40="",$B40="",$G40=-2),0,$C40*IF($G40=0,IF(IF($F40="",X$4,MIN(X$4,$F40))&lt;$E40,0,MAX(0,INT((IF($F40="",X$4,MIN(X$4,$F40))-$E40)/7)+1-MAX(0,ROUNDUP((X$3-$E40)/7,0)))),IF($G40=101,(AND(EOMONTH(X$3,0)&gt;=MAX(X$3,$E40),EOMONTH(X$3,0)&lt;=IF($F40="",X$4,MIN(X$4,$F40)))*1+AND(EOMONTH(X$4,0)&lt;&gt;EOMONTH(X$3,0),EOMONTH(X$4,0)&gt;=MAX(X$3,$E40),EOMONTH(X$4,0)&lt;=IF($F40="",X$4,MIN(X$4,$F40)))*1),IF($G40=102,(AND(WORKDAY(EOMONTH(X$3,0)+1,-3)&gt;=MAX(X$3,$E40),WORKDAY(EOMONTH(X$3,0)+1,-3)&lt;=IF($F40="",X$4,MIN(X$4,$F40)))*1+AND(WORKDAY(EOMONTH(X$4,0)+1,-3)&lt;&gt;WORKDAY(EOMONTH(X$3,0)+1,-3),WORKDAY(EOMONTH(X$4,0)+1,-3)&gt;=MAX(X$3,$E40),WORKDAY(EOMONTH(X$4,0)+1,-3)&lt;=IF($F40="",X$4,MIN(X$4,$F40)))*1),IF(AND(IF(EDATE($E40,MAX(0,ROUNDUP(((YEAR(X$3)-YEAR($E40))*12+MONTH(X$3)-MONTH($E40))/$G40,0)*$G40))&lt;X$3,EDATE($E40,MAX(0,ROUNDUP(((YEAR(X$3)-YEAR($E40))*12+MONTH(X$3)-MONTH($E40))/$G40,0)*$G40)+$G40),EDATE($E40,MAX(0,ROUNDUP(((YEAR(X$3)-YEAR($E40))*12+MONTH(X$3)-MONTH($E40))/$G40,0)*$G40)))&gt;=X$3,IF(EDATE($E40,MAX(0,ROUNDUP(((YEAR(X$3)-YEAR($E40))*12+MONTH(X$3)-MONTH($E40))/$G40,0)*$G40))&lt;X$3,EDATE($E40,MAX(0,ROUNDUP(((YEAR(X$3)-YEAR($E40))*12+MONTH(X$3)-MONTH($E40))/$G40,0)*$G40)+$G40),EDATE($E40,MAX(0,ROUNDUP(((YEAR(X$3)-YEAR($E40))*12+MONTH(X$3)-MONTH($E40))/$G40,0)*$G40)))&lt;=IF($F40="",X$4,MIN(X$4,$F40))),1,0)))))</f>
        <v>0</v>
      </c>
      <c r="Y40" s="25" t="n">
        <f aca="false">IF(OR($C40="",$C40=0,$E40="",$B40="",$G40=-2),0,$C40*IF($G40=0,IF(IF($F40="",Y$4,MIN(Y$4,$F40))&lt;$E40,0,MAX(0,INT((IF($F40="",Y$4,MIN(Y$4,$F40))-$E40)/7)+1-MAX(0,ROUNDUP((Y$3-$E40)/7,0)))),IF($G40=101,(AND(EOMONTH(Y$3,0)&gt;=MAX(Y$3,$E40),EOMONTH(Y$3,0)&lt;=IF($F40="",Y$4,MIN(Y$4,$F40)))*1+AND(EOMONTH(Y$4,0)&lt;&gt;EOMONTH(Y$3,0),EOMONTH(Y$4,0)&gt;=MAX(Y$3,$E40),EOMONTH(Y$4,0)&lt;=IF($F40="",Y$4,MIN(Y$4,$F40)))*1),IF($G40=102,(AND(WORKDAY(EOMONTH(Y$3,0)+1,-3)&gt;=MAX(Y$3,$E40),WORKDAY(EOMONTH(Y$3,0)+1,-3)&lt;=IF($F40="",Y$4,MIN(Y$4,$F40)))*1+AND(WORKDAY(EOMONTH(Y$4,0)+1,-3)&lt;&gt;WORKDAY(EOMONTH(Y$3,0)+1,-3),WORKDAY(EOMONTH(Y$4,0)+1,-3)&gt;=MAX(Y$3,$E40),WORKDAY(EOMONTH(Y$4,0)+1,-3)&lt;=IF($F40="",Y$4,MIN(Y$4,$F40)))*1),IF(AND(IF(EDATE($E40,MAX(0,ROUNDUP(((YEAR(Y$3)-YEAR($E40))*12+MONTH(Y$3)-MONTH($E40))/$G40,0)*$G40))&lt;Y$3,EDATE($E40,MAX(0,ROUNDUP(((YEAR(Y$3)-YEAR($E40))*12+MONTH(Y$3)-MONTH($E40))/$G40,0)*$G40)+$G40),EDATE($E40,MAX(0,ROUNDUP(((YEAR(Y$3)-YEAR($E40))*12+MONTH(Y$3)-MONTH($E40))/$G40,0)*$G40)))&gt;=Y$3,IF(EDATE($E40,MAX(0,ROUNDUP(((YEAR(Y$3)-YEAR($E40))*12+MONTH(Y$3)-MONTH($E40))/$G40,0)*$G40))&lt;Y$3,EDATE($E40,MAX(0,ROUNDUP(((YEAR(Y$3)-YEAR($E40))*12+MONTH(Y$3)-MONTH($E40))/$G40,0)*$G40)+$G40),EDATE($E40,MAX(0,ROUNDUP(((YEAR(Y$3)-YEAR($E40))*12+MONTH(Y$3)-MONTH($E40))/$G40,0)*$G40)))&lt;=IF($F40="",Y$4,MIN(Y$4,$F40))),1,0)))))</f>
        <v>0</v>
      </c>
      <c r="Z40" s="25" t="n">
        <f aca="false">IF(OR($C40="",$C40=0,$E40="",$B40="",$G40=-2),0,$C40*IF($G40=0,IF(IF($F40="",Z$4,MIN(Z$4,$F40))&lt;$E40,0,MAX(0,INT((IF($F40="",Z$4,MIN(Z$4,$F40))-$E40)/7)+1-MAX(0,ROUNDUP((Z$3-$E40)/7,0)))),IF($G40=101,(AND(EOMONTH(Z$3,0)&gt;=MAX(Z$3,$E40),EOMONTH(Z$3,0)&lt;=IF($F40="",Z$4,MIN(Z$4,$F40)))*1+AND(EOMONTH(Z$4,0)&lt;&gt;EOMONTH(Z$3,0),EOMONTH(Z$4,0)&gt;=MAX(Z$3,$E40),EOMONTH(Z$4,0)&lt;=IF($F40="",Z$4,MIN(Z$4,$F40)))*1),IF($G40=102,(AND(WORKDAY(EOMONTH(Z$3,0)+1,-3)&gt;=MAX(Z$3,$E40),WORKDAY(EOMONTH(Z$3,0)+1,-3)&lt;=IF($F40="",Z$4,MIN(Z$4,$F40)))*1+AND(WORKDAY(EOMONTH(Z$4,0)+1,-3)&lt;&gt;WORKDAY(EOMONTH(Z$3,0)+1,-3),WORKDAY(EOMONTH(Z$4,0)+1,-3)&gt;=MAX(Z$3,$E40),WORKDAY(EOMONTH(Z$4,0)+1,-3)&lt;=IF($F40="",Z$4,MIN(Z$4,$F40)))*1),IF(AND(IF(EDATE($E40,MAX(0,ROUNDUP(((YEAR(Z$3)-YEAR($E40))*12+MONTH(Z$3)-MONTH($E40))/$G40,0)*$G40))&lt;Z$3,EDATE($E40,MAX(0,ROUNDUP(((YEAR(Z$3)-YEAR($E40))*12+MONTH(Z$3)-MONTH($E40))/$G40,0)*$G40)+$G40),EDATE($E40,MAX(0,ROUNDUP(((YEAR(Z$3)-YEAR($E40))*12+MONTH(Z$3)-MONTH($E40))/$G40,0)*$G40)))&gt;=Z$3,IF(EDATE($E40,MAX(0,ROUNDUP(((YEAR(Z$3)-YEAR($E40))*12+MONTH(Z$3)-MONTH($E40))/$G40,0)*$G40))&lt;Z$3,EDATE($E40,MAX(0,ROUNDUP(((YEAR(Z$3)-YEAR($E40))*12+MONTH(Z$3)-MONTH($E40))/$G40,0)*$G40)+$G40),EDATE($E40,MAX(0,ROUNDUP(((YEAR(Z$3)-YEAR($E40))*12+MONTH(Z$3)-MONTH($E40))/$G40,0)*$G40)))&lt;=IF($F40="",Z$4,MIN(Z$4,$F40))),1,0)))))</f>
        <v>0</v>
      </c>
      <c r="AA40" s="25" t="n">
        <f aca="false">IF(OR($C40="",$C40=0,$E40="",$B40="",$G40=-2),0,$C40*IF($G40=0,IF(IF($F40="",AA$4,MIN(AA$4,$F40))&lt;$E40,0,MAX(0,INT((IF($F40="",AA$4,MIN(AA$4,$F40))-$E40)/7)+1-MAX(0,ROUNDUP((AA$3-$E40)/7,0)))),IF($G40=101,(AND(EOMONTH(AA$3,0)&gt;=MAX(AA$3,$E40),EOMONTH(AA$3,0)&lt;=IF($F40="",AA$4,MIN(AA$4,$F40)))*1+AND(EOMONTH(AA$4,0)&lt;&gt;EOMONTH(AA$3,0),EOMONTH(AA$4,0)&gt;=MAX(AA$3,$E40),EOMONTH(AA$4,0)&lt;=IF($F40="",AA$4,MIN(AA$4,$F40)))*1),IF($G40=102,(AND(WORKDAY(EOMONTH(AA$3,0)+1,-3)&gt;=MAX(AA$3,$E40),WORKDAY(EOMONTH(AA$3,0)+1,-3)&lt;=IF($F40="",AA$4,MIN(AA$4,$F40)))*1+AND(WORKDAY(EOMONTH(AA$4,0)+1,-3)&lt;&gt;WORKDAY(EOMONTH(AA$3,0)+1,-3),WORKDAY(EOMONTH(AA$4,0)+1,-3)&gt;=MAX(AA$3,$E40),WORKDAY(EOMONTH(AA$4,0)+1,-3)&lt;=IF($F40="",AA$4,MIN(AA$4,$F40)))*1),IF(AND(IF(EDATE($E40,MAX(0,ROUNDUP(((YEAR(AA$3)-YEAR($E40))*12+MONTH(AA$3)-MONTH($E40))/$G40,0)*$G40))&lt;AA$3,EDATE($E40,MAX(0,ROUNDUP(((YEAR(AA$3)-YEAR($E40))*12+MONTH(AA$3)-MONTH($E40))/$G40,0)*$G40)+$G40),EDATE($E40,MAX(0,ROUNDUP(((YEAR(AA$3)-YEAR($E40))*12+MONTH(AA$3)-MONTH($E40))/$G40,0)*$G40)))&gt;=AA$3,IF(EDATE($E40,MAX(0,ROUNDUP(((YEAR(AA$3)-YEAR($E40))*12+MONTH(AA$3)-MONTH($E40))/$G40,0)*$G40))&lt;AA$3,EDATE($E40,MAX(0,ROUNDUP(((YEAR(AA$3)-YEAR($E40))*12+MONTH(AA$3)-MONTH($E40))/$G40,0)*$G40)+$G40),EDATE($E40,MAX(0,ROUNDUP(((YEAR(AA$3)-YEAR($E40))*12+MONTH(AA$3)-MONTH($E40))/$G40,0)*$G40)))&lt;=IF($F40="",AA$4,MIN(AA$4,$F40))),1,0)))))</f>
        <v>0</v>
      </c>
      <c r="AB40" s="25" t="n">
        <f aca="false">IF(OR($C40="",$C40=0,$E40="",$B40="",$G40=-2),0,$C40*IF($G40=0,IF(IF($F40="",AB$4,MIN(AB$4,$F40))&lt;$E40,0,MAX(0,INT((IF($F40="",AB$4,MIN(AB$4,$F40))-$E40)/7)+1-MAX(0,ROUNDUP((AB$3-$E40)/7,0)))),IF($G40=101,(AND(EOMONTH(AB$3,0)&gt;=MAX(AB$3,$E40),EOMONTH(AB$3,0)&lt;=IF($F40="",AB$4,MIN(AB$4,$F40)))*1+AND(EOMONTH(AB$4,0)&lt;&gt;EOMONTH(AB$3,0),EOMONTH(AB$4,0)&gt;=MAX(AB$3,$E40),EOMONTH(AB$4,0)&lt;=IF($F40="",AB$4,MIN(AB$4,$F40)))*1),IF($G40=102,(AND(WORKDAY(EOMONTH(AB$3,0)+1,-3)&gt;=MAX(AB$3,$E40),WORKDAY(EOMONTH(AB$3,0)+1,-3)&lt;=IF($F40="",AB$4,MIN(AB$4,$F40)))*1+AND(WORKDAY(EOMONTH(AB$4,0)+1,-3)&lt;&gt;WORKDAY(EOMONTH(AB$3,0)+1,-3),WORKDAY(EOMONTH(AB$4,0)+1,-3)&gt;=MAX(AB$3,$E40),WORKDAY(EOMONTH(AB$4,0)+1,-3)&lt;=IF($F40="",AB$4,MIN(AB$4,$F40)))*1),IF(AND(IF(EDATE($E40,MAX(0,ROUNDUP(((YEAR(AB$3)-YEAR($E40))*12+MONTH(AB$3)-MONTH($E40))/$G40,0)*$G40))&lt;AB$3,EDATE($E40,MAX(0,ROUNDUP(((YEAR(AB$3)-YEAR($E40))*12+MONTH(AB$3)-MONTH($E40))/$G40,0)*$G40)+$G40),EDATE($E40,MAX(0,ROUNDUP(((YEAR(AB$3)-YEAR($E40))*12+MONTH(AB$3)-MONTH($E40))/$G40,0)*$G40)))&gt;=AB$3,IF(EDATE($E40,MAX(0,ROUNDUP(((YEAR(AB$3)-YEAR($E40))*12+MONTH(AB$3)-MONTH($E40))/$G40,0)*$G40))&lt;AB$3,EDATE($E40,MAX(0,ROUNDUP(((YEAR(AB$3)-YEAR($E40))*12+MONTH(AB$3)-MONTH($E40))/$G40,0)*$G40)+$G40),EDATE($E40,MAX(0,ROUNDUP(((YEAR(AB$3)-YEAR($E40))*12+MONTH(AB$3)-MONTH($E40))/$G40,0)*$G40)))&lt;=IF($F40="",AB$4,MIN(AB$4,$F40))),1,0)))))</f>
        <v>0</v>
      </c>
      <c r="AC40" s="25" t="n">
        <f aca="false">IF(OR($C40="",$C40=0,$E40="",$B40="",$G40=-2),0,$C40*IF($G40=0,IF(IF($F40="",AC$4,MIN(AC$4,$F40))&lt;$E40,0,MAX(0,INT((IF($F40="",AC$4,MIN(AC$4,$F40))-$E40)/7)+1-MAX(0,ROUNDUP((AC$3-$E40)/7,0)))),IF($G40=101,(AND(EOMONTH(AC$3,0)&gt;=MAX(AC$3,$E40),EOMONTH(AC$3,0)&lt;=IF($F40="",AC$4,MIN(AC$4,$F40)))*1+AND(EOMONTH(AC$4,0)&lt;&gt;EOMONTH(AC$3,0),EOMONTH(AC$4,0)&gt;=MAX(AC$3,$E40),EOMONTH(AC$4,0)&lt;=IF($F40="",AC$4,MIN(AC$4,$F40)))*1),IF($G40=102,(AND(WORKDAY(EOMONTH(AC$3,0)+1,-3)&gt;=MAX(AC$3,$E40),WORKDAY(EOMONTH(AC$3,0)+1,-3)&lt;=IF($F40="",AC$4,MIN(AC$4,$F40)))*1+AND(WORKDAY(EOMONTH(AC$4,0)+1,-3)&lt;&gt;WORKDAY(EOMONTH(AC$3,0)+1,-3),WORKDAY(EOMONTH(AC$4,0)+1,-3)&gt;=MAX(AC$3,$E40),WORKDAY(EOMONTH(AC$4,0)+1,-3)&lt;=IF($F40="",AC$4,MIN(AC$4,$F40)))*1),IF(AND(IF(EDATE($E40,MAX(0,ROUNDUP(((YEAR(AC$3)-YEAR($E40))*12+MONTH(AC$3)-MONTH($E40))/$G40,0)*$G40))&lt;AC$3,EDATE($E40,MAX(0,ROUNDUP(((YEAR(AC$3)-YEAR($E40))*12+MONTH(AC$3)-MONTH($E40))/$G40,0)*$G40)+$G40),EDATE($E40,MAX(0,ROUNDUP(((YEAR(AC$3)-YEAR($E40))*12+MONTH(AC$3)-MONTH($E40))/$G40,0)*$G40)))&gt;=AC$3,IF(EDATE($E40,MAX(0,ROUNDUP(((YEAR(AC$3)-YEAR($E40))*12+MONTH(AC$3)-MONTH($E40))/$G40,0)*$G40))&lt;AC$3,EDATE($E40,MAX(0,ROUNDUP(((YEAR(AC$3)-YEAR($E40))*12+MONTH(AC$3)-MONTH($E40))/$G40,0)*$G40)+$G40),EDATE($E40,MAX(0,ROUNDUP(((YEAR(AC$3)-YEAR($E40))*12+MONTH(AC$3)-MONTH($E40))/$G40,0)*$G40)))&lt;=IF($F40="",AC$4,MIN(AC$4,$F40))),1,0)))))</f>
        <v>0</v>
      </c>
      <c r="AD40" s="25" t="n">
        <f aca="false">IF(OR($C40="",$C40=0,$E40="",$B40="",$G40=-2),0,$C40*IF($G40=0,IF(IF($F40="",AD$4,MIN(AD$4,$F40))&lt;$E40,0,MAX(0,INT((IF($F40="",AD$4,MIN(AD$4,$F40))-$E40)/7)+1-MAX(0,ROUNDUP((AD$3-$E40)/7,0)))),IF($G40=101,(AND(EOMONTH(AD$3,0)&gt;=MAX(AD$3,$E40),EOMONTH(AD$3,0)&lt;=IF($F40="",AD$4,MIN(AD$4,$F40)))*1+AND(EOMONTH(AD$4,0)&lt;&gt;EOMONTH(AD$3,0),EOMONTH(AD$4,0)&gt;=MAX(AD$3,$E40),EOMONTH(AD$4,0)&lt;=IF($F40="",AD$4,MIN(AD$4,$F40)))*1),IF($G40=102,(AND(WORKDAY(EOMONTH(AD$3,0)+1,-3)&gt;=MAX(AD$3,$E40),WORKDAY(EOMONTH(AD$3,0)+1,-3)&lt;=IF($F40="",AD$4,MIN(AD$4,$F40)))*1+AND(WORKDAY(EOMONTH(AD$4,0)+1,-3)&lt;&gt;WORKDAY(EOMONTH(AD$3,0)+1,-3),WORKDAY(EOMONTH(AD$4,0)+1,-3)&gt;=MAX(AD$3,$E40),WORKDAY(EOMONTH(AD$4,0)+1,-3)&lt;=IF($F40="",AD$4,MIN(AD$4,$F40)))*1),IF(AND(IF(EDATE($E40,MAX(0,ROUNDUP(((YEAR(AD$3)-YEAR($E40))*12+MONTH(AD$3)-MONTH($E40))/$G40,0)*$G40))&lt;AD$3,EDATE($E40,MAX(0,ROUNDUP(((YEAR(AD$3)-YEAR($E40))*12+MONTH(AD$3)-MONTH($E40))/$G40,0)*$G40)+$G40),EDATE($E40,MAX(0,ROUNDUP(((YEAR(AD$3)-YEAR($E40))*12+MONTH(AD$3)-MONTH($E40))/$G40,0)*$G40)))&gt;=AD$3,IF(EDATE($E40,MAX(0,ROUNDUP(((YEAR(AD$3)-YEAR($E40))*12+MONTH(AD$3)-MONTH($E40))/$G40,0)*$G40))&lt;AD$3,EDATE($E40,MAX(0,ROUNDUP(((YEAR(AD$3)-YEAR($E40))*12+MONTH(AD$3)-MONTH($E40))/$G40,0)*$G40)+$G40),EDATE($E40,MAX(0,ROUNDUP(((YEAR(AD$3)-YEAR($E40))*12+MONTH(AD$3)-MONTH($E40))/$G40,0)*$G40)))&lt;=IF($F40="",AD$4,MIN(AD$4,$F40))),1,0)))))</f>
        <v>0</v>
      </c>
      <c r="AE40" s="25" t="n">
        <f aca="false">IF(OR($C40="",$C40=0,$E40="",$B40="",$G40=-2),0,$C40*IF($G40=0,IF(IF($F40="",AE$4,MIN(AE$4,$F40))&lt;$E40,0,MAX(0,INT((IF($F40="",AE$4,MIN(AE$4,$F40))-$E40)/7)+1-MAX(0,ROUNDUP((AE$3-$E40)/7,0)))),IF($G40=101,(AND(EOMONTH(AE$3,0)&gt;=MAX(AE$3,$E40),EOMONTH(AE$3,0)&lt;=IF($F40="",AE$4,MIN(AE$4,$F40)))*1+AND(EOMONTH(AE$4,0)&lt;&gt;EOMONTH(AE$3,0),EOMONTH(AE$4,0)&gt;=MAX(AE$3,$E40),EOMONTH(AE$4,0)&lt;=IF($F40="",AE$4,MIN(AE$4,$F40)))*1),IF($G40=102,(AND(WORKDAY(EOMONTH(AE$3,0)+1,-3)&gt;=MAX(AE$3,$E40),WORKDAY(EOMONTH(AE$3,0)+1,-3)&lt;=IF($F40="",AE$4,MIN(AE$4,$F40)))*1+AND(WORKDAY(EOMONTH(AE$4,0)+1,-3)&lt;&gt;WORKDAY(EOMONTH(AE$3,0)+1,-3),WORKDAY(EOMONTH(AE$4,0)+1,-3)&gt;=MAX(AE$3,$E40),WORKDAY(EOMONTH(AE$4,0)+1,-3)&lt;=IF($F40="",AE$4,MIN(AE$4,$F40)))*1),IF(AND(IF(EDATE($E40,MAX(0,ROUNDUP(((YEAR(AE$3)-YEAR($E40))*12+MONTH(AE$3)-MONTH($E40))/$G40,0)*$G40))&lt;AE$3,EDATE($E40,MAX(0,ROUNDUP(((YEAR(AE$3)-YEAR($E40))*12+MONTH(AE$3)-MONTH($E40))/$G40,0)*$G40)+$G40),EDATE($E40,MAX(0,ROUNDUP(((YEAR(AE$3)-YEAR($E40))*12+MONTH(AE$3)-MONTH($E40))/$G40,0)*$G40)))&gt;=AE$3,IF(EDATE($E40,MAX(0,ROUNDUP(((YEAR(AE$3)-YEAR($E40))*12+MONTH(AE$3)-MONTH($E40))/$G40,0)*$G40))&lt;AE$3,EDATE($E40,MAX(0,ROUNDUP(((YEAR(AE$3)-YEAR($E40))*12+MONTH(AE$3)-MONTH($E40))/$G40,0)*$G40)+$G40),EDATE($E40,MAX(0,ROUNDUP(((YEAR(AE$3)-YEAR($E40))*12+MONTH(AE$3)-MONTH($E40))/$G40,0)*$G40)))&lt;=IF($F40="",AE$4,MIN(AE$4,$F40))),1,0)))))</f>
        <v>0</v>
      </c>
      <c r="AF40" s="25" t="n">
        <f aca="false">IF(OR($C40="",$C40=0,$E40="",$B40="",$G40=-2),0,$C40*IF($G40=0,IF(IF($F40="",AF$4,MIN(AF$4,$F40))&lt;$E40,0,MAX(0,INT((IF($F40="",AF$4,MIN(AF$4,$F40))-$E40)/7)+1-MAX(0,ROUNDUP((AF$3-$E40)/7,0)))),IF($G40=101,(AND(EOMONTH(AF$3,0)&gt;=MAX(AF$3,$E40),EOMONTH(AF$3,0)&lt;=IF($F40="",AF$4,MIN(AF$4,$F40)))*1+AND(EOMONTH(AF$4,0)&lt;&gt;EOMONTH(AF$3,0),EOMONTH(AF$4,0)&gt;=MAX(AF$3,$E40),EOMONTH(AF$4,0)&lt;=IF($F40="",AF$4,MIN(AF$4,$F40)))*1),IF($G40=102,(AND(WORKDAY(EOMONTH(AF$3,0)+1,-3)&gt;=MAX(AF$3,$E40),WORKDAY(EOMONTH(AF$3,0)+1,-3)&lt;=IF($F40="",AF$4,MIN(AF$4,$F40)))*1+AND(WORKDAY(EOMONTH(AF$4,0)+1,-3)&lt;&gt;WORKDAY(EOMONTH(AF$3,0)+1,-3),WORKDAY(EOMONTH(AF$4,0)+1,-3)&gt;=MAX(AF$3,$E40),WORKDAY(EOMONTH(AF$4,0)+1,-3)&lt;=IF($F40="",AF$4,MIN(AF$4,$F40)))*1),IF(AND(IF(EDATE($E40,MAX(0,ROUNDUP(((YEAR(AF$3)-YEAR($E40))*12+MONTH(AF$3)-MONTH($E40))/$G40,0)*$G40))&lt;AF$3,EDATE($E40,MAX(0,ROUNDUP(((YEAR(AF$3)-YEAR($E40))*12+MONTH(AF$3)-MONTH($E40))/$G40,0)*$G40)+$G40),EDATE($E40,MAX(0,ROUNDUP(((YEAR(AF$3)-YEAR($E40))*12+MONTH(AF$3)-MONTH($E40))/$G40,0)*$G40)))&gt;=AF$3,IF(EDATE($E40,MAX(0,ROUNDUP(((YEAR(AF$3)-YEAR($E40))*12+MONTH(AF$3)-MONTH($E40))/$G40,0)*$G40))&lt;AF$3,EDATE($E40,MAX(0,ROUNDUP(((YEAR(AF$3)-YEAR($E40))*12+MONTH(AF$3)-MONTH($E40))/$G40,0)*$G40)+$G40),EDATE($E40,MAX(0,ROUNDUP(((YEAR(AF$3)-YEAR($E40))*12+MONTH(AF$3)-MONTH($E40))/$G40,0)*$G40)))&lt;=IF($F40="",AF$4,MIN(AF$4,$F40))),1,0)))))</f>
        <v>0</v>
      </c>
    </row>
    <row r="41" customFormat="false" ht="15" hidden="false" customHeight="false" outlineLevel="0" collapsed="false">
      <c r="A41" s="5"/>
      <c r="B41" s="5"/>
      <c r="C41" s="8"/>
      <c r="D41" s="5"/>
      <c r="E41" s="7"/>
      <c r="F41" s="7"/>
      <c r="G41" s="24" t="n">
        <f aca="false">IFERROR(INDEX(Listen!$E$2:$E$8,MATCH(D41,Listen!$D$2:$D$8,0)),-2)</f>
        <v>-2</v>
      </c>
      <c r="H41" s="25" t="n">
        <f aca="false">IF(OR($C41="",$C41=0,$E41="",$B41="",$G41=-2),0,$C41*IF($G41=0,IF(IF($F41="",H$4,MIN(H$4,$F41))&lt;$E41,0,MAX(0,INT((IF($F41="",H$4,MIN(H$4,$F41))-$E41)/7)+1-MAX(0,ROUNDUP((H$3-$E41)/7,0)))),IF($G41=101,(AND(EOMONTH(H$3,0)&gt;=MAX(H$3,$E41),EOMONTH(H$3,0)&lt;=IF($F41="",H$4,MIN(H$4,$F41)))*1+AND(EOMONTH(H$4,0)&lt;&gt;EOMONTH(H$3,0),EOMONTH(H$4,0)&gt;=MAX(H$3,$E41),EOMONTH(H$4,0)&lt;=IF($F41="",H$4,MIN(H$4,$F41)))*1),IF($G41=102,(AND(WORKDAY(EOMONTH(H$3,0)+1,-3)&gt;=MAX(H$3,$E41),WORKDAY(EOMONTH(H$3,0)+1,-3)&lt;=IF($F41="",H$4,MIN(H$4,$F41)))*1+AND(WORKDAY(EOMONTH(H$4,0)+1,-3)&lt;&gt;WORKDAY(EOMONTH(H$3,0)+1,-3),WORKDAY(EOMONTH(H$4,0)+1,-3)&gt;=MAX(H$3,$E41),WORKDAY(EOMONTH(H$4,0)+1,-3)&lt;=IF($F41="",H$4,MIN(H$4,$F41)))*1),IF(AND(IF(EDATE($E41,MAX(0,ROUNDUP(((YEAR(H$3)-YEAR($E41))*12+MONTH(H$3)-MONTH($E41))/$G41,0)*$G41))&lt;H$3,EDATE($E41,MAX(0,ROUNDUP(((YEAR(H$3)-YEAR($E41))*12+MONTH(H$3)-MONTH($E41))/$G41,0)*$G41)+$G41),EDATE($E41,MAX(0,ROUNDUP(((YEAR(H$3)-YEAR($E41))*12+MONTH(H$3)-MONTH($E41))/$G41,0)*$G41)))&gt;=H$3,IF(EDATE($E41,MAX(0,ROUNDUP(((YEAR(H$3)-YEAR($E41))*12+MONTH(H$3)-MONTH($E41))/$G41,0)*$G41))&lt;H$3,EDATE($E41,MAX(0,ROUNDUP(((YEAR(H$3)-YEAR($E41))*12+MONTH(H$3)-MONTH($E41))/$G41,0)*$G41)+$G41),EDATE($E41,MAX(0,ROUNDUP(((YEAR(H$3)-YEAR($E41))*12+MONTH(H$3)-MONTH($E41))/$G41,0)*$G41)))&lt;=IF($F41="",H$4,MIN(H$4,$F41))),1,0)))))</f>
        <v>0</v>
      </c>
      <c r="I41" s="25" t="n">
        <f aca="false">IF(OR($C41="",$C41=0,$E41="",$B41="",$G41=-2),0,$C41*IF($G41=0,IF(IF($F41="",I$4,MIN(I$4,$F41))&lt;$E41,0,MAX(0,INT((IF($F41="",I$4,MIN(I$4,$F41))-$E41)/7)+1-MAX(0,ROUNDUP((I$3-$E41)/7,0)))),IF($G41=101,(AND(EOMONTH(I$3,0)&gt;=MAX(I$3,$E41),EOMONTH(I$3,0)&lt;=IF($F41="",I$4,MIN(I$4,$F41)))*1+AND(EOMONTH(I$4,0)&lt;&gt;EOMONTH(I$3,0),EOMONTH(I$4,0)&gt;=MAX(I$3,$E41),EOMONTH(I$4,0)&lt;=IF($F41="",I$4,MIN(I$4,$F41)))*1),IF($G41=102,(AND(WORKDAY(EOMONTH(I$3,0)+1,-3)&gt;=MAX(I$3,$E41),WORKDAY(EOMONTH(I$3,0)+1,-3)&lt;=IF($F41="",I$4,MIN(I$4,$F41)))*1+AND(WORKDAY(EOMONTH(I$4,0)+1,-3)&lt;&gt;WORKDAY(EOMONTH(I$3,0)+1,-3),WORKDAY(EOMONTH(I$4,0)+1,-3)&gt;=MAX(I$3,$E41),WORKDAY(EOMONTH(I$4,0)+1,-3)&lt;=IF($F41="",I$4,MIN(I$4,$F41)))*1),IF(AND(IF(EDATE($E41,MAX(0,ROUNDUP(((YEAR(I$3)-YEAR($E41))*12+MONTH(I$3)-MONTH($E41))/$G41,0)*$G41))&lt;I$3,EDATE($E41,MAX(0,ROUNDUP(((YEAR(I$3)-YEAR($E41))*12+MONTH(I$3)-MONTH($E41))/$G41,0)*$G41)+$G41),EDATE($E41,MAX(0,ROUNDUP(((YEAR(I$3)-YEAR($E41))*12+MONTH(I$3)-MONTH($E41))/$G41,0)*$G41)))&gt;=I$3,IF(EDATE($E41,MAX(0,ROUNDUP(((YEAR(I$3)-YEAR($E41))*12+MONTH(I$3)-MONTH($E41))/$G41,0)*$G41))&lt;I$3,EDATE($E41,MAX(0,ROUNDUP(((YEAR(I$3)-YEAR($E41))*12+MONTH(I$3)-MONTH($E41))/$G41,0)*$G41)+$G41),EDATE($E41,MAX(0,ROUNDUP(((YEAR(I$3)-YEAR($E41))*12+MONTH(I$3)-MONTH($E41))/$G41,0)*$G41)))&lt;=IF($F41="",I$4,MIN(I$4,$F41))),1,0)))))</f>
        <v>0</v>
      </c>
      <c r="J41" s="25" t="n">
        <f aca="false">IF(OR($C41="",$C41=0,$E41="",$B41="",$G41=-2),0,$C41*IF($G41=0,IF(IF($F41="",J$4,MIN(J$4,$F41))&lt;$E41,0,MAX(0,INT((IF($F41="",J$4,MIN(J$4,$F41))-$E41)/7)+1-MAX(0,ROUNDUP((J$3-$E41)/7,0)))),IF($G41=101,(AND(EOMONTH(J$3,0)&gt;=MAX(J$3,$E41),EOMONTH(J$3,0)&lt;=IF($F41="",J$4,MIN(J$4,$F41)))*1+AND(EOMONTH(J$4,0)&lt;&gt;EOMONTH(J$3,0),EOMONTH(J$4,0)&gt;=MAX(J$3,$E41),EOMONTH(J$4,0)&lt;=IF($F41="",J$4,MIN(J$4,$F41)))*1),IF($G41=102,(AND(WORKDAY(EOMONTH(J$3,0)+1,-3)&gt;=MAX(J$3,$E41),WORKDAY(EOMONTH(J$3,0)+1,-3)&lt;=IF($F41="",J$4,MIN(J$4,$F41)))*1+AND(WORKDAY(EOMONTH(J$4,0)+1,-3)&lt;&gt;WORKDAY(EOMONTH(J$3,0)+1,-3),WORKDAY(EOMONTH(J$4,0)+1,-3)&gt;=MAX(J$3,$E41),WORKDAY(EOMONTH(J$4,0)+1,-3)&lt;=IF($F41="",J$4,MIN(J$4,$F41)))*1),IF(AND(IF(EDATE($E41,MAX(0,ROUNDUP(((YEAR(J$3)-YEAR($E41))*12+MONTH(J$3)-MONTH($E41))/$G41,0)*$G41))&lt;J$3,EDATE($E41,MAX(0,ROUNDUP(((YEAR(J$3)-YEAR($E41))*12+MONTH(J$3)-MONTH($E41))/$G41,0)*$G41)+$G41),EDATE($E41,MAX(0,ROUNDUP(((YEAR(J$3)-YEAR($E41))*12+MONTH(J$3)-MONTH($E41))/$G41,0)*$G41)))&gt;=J$3,IF(EDATE($E41,MAX(0,ROUNDUP(((YEAR(J$3)-YEAR($E41))*12+MONTH(J$3)-MONTH($E41))/$G41,0)*$G41))&lt;J$3,EDATE($E41,MAX(0,ROUNDUP(((YEAR(J$3)-YEAR($E41))*12+MONTH(J$3)-MONTH($E41))/$G41,0)*$G41)+$G41),EDATE($E41,MAX(0,ROUNDUP(((YEAR(J$3)-YEAR($E41))*12+MONTH(J$3)-MONTH($E41))/$G41,0)*$G41)))&lt;=IF($F41="",J$4,MIN(J$4,$F41))),1,0)))))</f>
        <v>0</v>
      </c>
      <c r="K41" s="25" t="n">
        <f aca="false">IF(OR($C41="",$C41=0,$E41="",$B41="",$G41=-2),0,$C41*IF($G41=0,IF(IF($F41="",K$4,MIN(K$4,$F41))&lt;$E41,0,MAX(0,INT((IF($F41="",K$4,MIN(K$4,$F41))-$E41)/7)+1-MAX(0,ROUNDUP((K$3-$E41)/7,0)))),IF($G41=101,(AND(EOMONTH(K$3,0)&gt;=MAX(K$3,$E41),EOMONTH(K$3,0)&lt;=IF($F41="",K$4,MIN(K$4,$F41)))*1+AND(EOMONTH(K$4,0)&lt;&gt;EOMONTH(K$3,0),EOMONTH(K$4,0)&gt;=MAX(K$3,$E41),EOMONTH(K$4,0)&lt;=IF($F41="",K$4,MIN(K$4,$F41)))*1),IF($G41=102,(AND(WORKDAY(EOMONTH(K$3,0)+1,-3)&gt;=MAX(K$3,$E41),WORKDAY(EOMONTH(K$3,0)+1,-3)&lt;=IF($F41="",K$4,MIN(K$4,$F41)))*1+AND(WORKDAY(EOMONTH(K$4,0)+1,-3)&lt;&gt;WORKDAY(EOMONTH(K$3,0)+1,-3),WORKDAY(EOMONTH(K$4,0)+1,-3)&gt;=MAX(K$3,$E41),WORKDAY(EOMONTH(K$4,0)+1,-3)&lt;=IF($F41="",K$4,MIN(K$4,$F41)))*1),IF(AND(IF(EDATE($E41,MAX(0,ROUNDUP(((YEAR(K$3)-YEAR($E41))*12+MONTH(K$3)-MONTH($E41))/$G41,0)*$G41))&lt;K$3,EDATE($E41,MAX(0,ROUNDUP(((YEAR(K$3)-YEAR($E41))*12+MONTH(K$3)-MONTH($E41))/$G41,0)*$G41)+$G41),EDATE($E41,MAX(0,ROUNDUP(((YEAR(K$3)-YEAR($E41))*12+MONTH(K$3)-MONTH($E41))/$G41,0)*$G41)))&gt;=K$3,IF(EDATE($E41,MAX(0,ROUNDUP(((YEAR(K$3)-YEAR($E41))*12+MONTH(K$3)-MONTH($E41))/$G41,0)*$G41))&lt;K$3,EDATE($E41,MAX(0,ROUNDUP(((YEAR(K$3)-YEAR($E41))*12+MONTH(K$3)-MONTH($E41))/$G41,0)*$G41)+$G41),EDATE($E41,MAX(0,ROUNDUP(((YEAR(K$3)-YEAR($E41))*12+MONTH(K$3)-MONTH($E41))/$G41,0)*$G41)))&lt;=IF($F41="",K$4,MIN(K$4,$F41))),1,0)))))</f>
        <v>0</v>
      </c>
      <c r="L41" s="25" t="n">
        <f aca="false">IF(OR($C41="",$C41=0,$E41="",$B41="",$G41=-2),0,$C41*IF($G41=0,IF(IF($F41="",L$4,MIN(L$4,$F41))&lt;$E41,0,MAX(0,INT((IF($F41="",L$4,MIN(L$4,$F41))-$E41)/7)+1-MAX(0,ROUNDUP((L$3-$E41)/7,0)))),IF($G41=101,(AND(EOMONTH(L$3,0)&gt;=MAX(L$3,$E41),EOMONTH(L$3,0)&lt;=IF($F41="",L$4,MIN(L$4,$F41)))*1+AND(EOMONTH(L$4,0)&lt;&gt;EOMONTH(L$3,0),EOMONTH(L$4,0)&gt;=MAX(L$3,$E41),EOMONTH(L$4,0)&lt;=IF($F41="",L$4,MIN(L$4,$F41)))*1),IF($G41=102,(AND(WORKDAY(EOMONTH(L$3,0)+1,-3)&gt;=MAX(L$3,$E41),WORKDAY(EOMONTH(L$3,0)+1,-3)&lt;=IF($F41="",L$4,MIN(L$4,$F41)))*1+AND(WORKDAY(EOMONTH(L$4,0)+1,-3)&lt;&gt;WORKDAY(EOMONTH(L$3,0)+1,-3),WORKDAY(EOMONTH(L$4,0)+1,-3)&gt;=MAX(L$3,$E41),WORKDAY(EOMONTH(L$4,0)+1,-3)&lt;=IF($F41="",L$4,MIN(L$4,$F41)))*1),IF(AND(IF(EDATE($E41,MAX(0,ROUNDUP(((YEAR(L$3)-YEAR($E41))*12+MONTH(L$3)-MONTH($E41))/$G41,0)*$G41))&lt;L$3,EDATE($E41,MAX(0,ROUNDUP(((YEAR(L$3)-YEAR($E41))*12+MONTH(L$3)-MONTH($E41))/$G41,0)*$G41)+$G41),EDATE($E41,MAX(0,ROUNDUP(((YEAR(L$3)-YEAR($E41))*12+MONTH(L$3)-MONTH($E41))/$G41,0)*$G41)))&gt;=L$3,IF(EDATE($E41,MAX(0,ROUNDUP(((YEAR(L$3)-YEAR($E41))*12+MONTH(L$3)-MONTH($E41))/$G41,0)*$G41))&lt;L$3,EDATE($E41,MAX(0,ROUNDUP(((YEAR(L$3)-YEAR($E41))*12+MONTH(L$3)-MONTH($E41))/$G41,0)*$G41)+$G41),EDATE($E41,MAX(0,ROUNDUP(((YEAR(L$3)-YEAR($E41))*12+MONTH(L$3)-MONTH($E41))/$G41,0)*$G41)))&lt;=IF($F41="",L$4,MIN(L$4,$F41))),1,0)))))</f>
        <v>0</v>
      </c>
      <c r="M41" s="25" t="n">
        <f aca="false">IF(OR($C41="",$C41=0,$E41="",$B41="",$G41=-2),0,$C41*IF($G41=0,IF(IF($F41="",M$4,MIN(M$4,$F41))&lt;$E41,0,MAX(0,INT((IF($F41="",M$4,MIN(M$4,$F41))-$E41)/7)+1-MAX(0,ROUNDUP((M$3-$E41)/7,0)))),IF($G41=101,(AND(EOMONTH(M$3,0)&gt;=MAX(M$3,$E41),EOMONTH(M$3,0)&lt;=IF($F41="",M$4,MIN(M$4,$F41)))*1+AND(EOMONTH(M$4,0)&lt;&gt;EOMONTH(M$3,0),EOMONTH(M$4,0)&gt;=MAX(M$3,$E41),EOMONTH(M$4,0)&lt;=IF($F41="",M$4,MIN(M$4,$F41)))*1),IF($G41=102,(AND(WORKDAY(EOMONTH(M$3,0)+1,-3)&gt;=MAX(M$3,$E41),WORKDAY(EOMONTH(M$3,0)+1,-3)&lt;=IF($F41="",M$4,MIN(M$4,$F41)))*1+AND(WORKDAY(EOMONTH(M$4,0)+1,-3)&lt;&gt;WORKDAY(EOMONTH(M$3,0)+1,-3),WORKDAY(EOMONTH(M$4,0)+1,-3)&gt;=MAX(M$3,$E41),WORKDAY(EOMONTH(M$4,0)+1,-3)&lt;=IF($F41="",M$4,MIN(M$4,$F41)))*1),IF(AND(IF(EDATE($E41,MAX(0,ROUNDUP(((YEAR(M$3)-YEAR($E41))*12+MONTH(M$3)-MONTH($E41))/$G41,0)*$G41))&lt;M$3,EDATE($E41,MAX(0,ROUNDUP(((YEAR(M$3)-YEAR($E41))*12+MONTH(M$3)-MONTH($E41))/$G41,0)*$G41)+$G41),EDATE($E41,MAX(0,ROUNDUP(((YEAR(M$3)-YEAR($E41))*12+MONTH(M$3)-MONTH($E41))/$G41,0)*$G41)))&gt;=M$3,IF(EDATE($E41,MAX(0,ROUNDUP(((YEAR(M$3)-YEAR($E41))*12+MONTH(M$3)-MONTH($E41))/$G41,0)*$G41))&lt;M$3,EDATE($E41,MAX(0,ROUNDUP(((YEAR(M$3)-YEAR($E41))*12+MONTH(M$3)-MONTH($E41))/$G41,0)*$G41)+$G41),EDATE($E41,MAX(0,ROUNDUP(((YEAR(M$3)-YEAR($E41))*12+MONTH(M$3)-MONTH($E41))/$G41,0)*$G41)))&lt;=IF($F41="",M$4,MIN(M$4,$F41))),1,0)))))</f>
        <v>0</v>
      </c>
      <c r="N41" s="25" t="n">
        <f aca="false">IF(OR($C41="",$C41=0,$E41="",$B41="",$G41=-2),0,$C41*IF($G41=0,IF(IF($F41="",N$4,MIN(N$4,$F41))&lt;$E41,0,MAX(0,INT((IF($F41="",N$4,MIN(N$4,$F41))-$E41)/7)+1-MAX(0,ROUNDUP((N$3-$E41)/7,0)))),IF($G41=101,(AND(EOMONTH(N$3,0)&gt;=MAX(N$3,$E41),EOMONTH(N$3,0)&lt;=IF($F41="",N$4,MIN(N$4,$F41)))*1+AND(EOMONTH(N$4,0)&lt;&gt;EOMONTH(N$3,0),EOMONTH(N$4,0)&gt;=MAX(N$3,$E41),EOMONTH(N$4,0)&lt;=IF($F41="",N$4,MIN(N$4,$F41)))*1),IF($G41=102,(AND(WORKDAY(EOMONTH(N$3,0)+1,-3)&gt;=MAX(N$3,$E41),WORKDAY(EOMONTH(N$3,0)+1,-3)&lt;=IF($F41="",N$4,MIN(N$4,$F41)))*1+AND(WORKDAY(EOMONTH(N$4,0)+1,-3)&lt;&gt;WORKDAY(EOMONTH(N$3,0)+1,-3),WORKDAY(EOMONTH(N$4,0)+1,-3)&gt;=MAX(N$3,$E41),WORKDAY(EOMONTH(N$4,0)+1,-3)&lt;=IF($F41="",N$4,MIN(N$4,$F41)))*1),IF(AND(IF(EDATE($E41,MAX(0,ROUNDUP(((YEAR(N$3)-YEAR($E41))*12+MONTH(N$3)-MONTH($E41))/$G41,0)*$G41))&lt;N$3,EDATE($E41,MAX(0,ROUNDUP(((YEAR(N$3)-YEAR($E41))*12+MONTH(N$3)-MONTH($E41))/$G41,0)*$G41)+$G41),EDATE($E41,MAX(0,ROUNDUP(((YEAR(N$3)-YEAR($E41))*12+MONTH(N$3)-MONTH($E41))/$G41,0)*$G41)))&gt;=N$3,IF(EDATE($E41,MAX(0,ROUNDUP(((YEAR(N$3)-YEAR($E41))*12+MONTH(N$3)-MONTH($E41))/$G41,0)*$G41))&lt;N$3,EDATE($E41,MAX(0,ROUNDUP(((YEAR(N$3)-YEAR($E41))*12+MONTH(N$3)-MONTH($E41))/$G41,0)*$G41)+$G41),EDATE($E41,MAX(0,ROUNDUP(((YEAR(N$3)-YEAR($E41))*12+MONTH(N$3)-MONTH($E41))/$G41,0)*$G41)))&lt;=IF($F41="",N$4,MIN(N$4,$F41))),1,0)))))</f>
        <v>0</v>
      </c>
      <c r="O41" s="25" t="n">
        <f aca="false">IF(OR($C41="",$C41=0,$E41="",$B41="",$G41=-2),0,$C41*IF($G41=0,IF(IF($F41="",O$4,MIN(O$4,$F41))&lt;$E41,0,MAX(0,INT((IF($F41="",O$4,MIN(O$4,$F41))-$E41)/7)+1-MAX(0,ROUNDUP((O$3-$E41)/7,0)))),IF($G41=101,(AND(EOMONTH(O$3,0)&gt;=MAX(O$3,$E41),EOMONTH(O$3,0)&lt;=IF($F41="",O$4,MIN(O$4,$F41)))*1+AND(EOMONTH(O$4,0)&lt;&gt;EOMONTH(O$3,0),EOMONTH(O$4,0)&gt;=MAX(O$3,$E41),EOMONTH(O$4,0)&lt;=IF($F41="",O$4,MIN(O$4,$F41)))*1),IF($G41=102,(AND(WORKDAY(EOMONTH(O$3,0)+1,-3)&gt;=MAX(O$3,$E41),WORKDAY(EOMONTH(O$3,0)+1,-3)&lt;=IF($F41="",O$4,MIN(O$4,$F41)))*1+AND(WORKDAY(EOMONTH(O$4,0)+1,-3)&lt;&gt;WORKDAY(EOMONTH(O$3,0)+1,-3),WORKDAY(EOMONTH(O$4,0)+1,-3)&gt;=MAX(O$3,$E41),WORKDAY(EOMONTH(O$4,0)+1,-3)&lt;=IF($F41="",O$4,MIN(O$4,$F41)))*1),IF(AND(IF(EDATE($E41,MAX(0,ROUNDUP(((YEAR(O$3)-YEAR($E41))*12+MONTH(O$3)-MONTH($E41))/$G41,0)*$G41))&lt;O$3,EDATE($E41,MAX(0,ROUNDUP(((YEAR(O$3)-YEAR($E41))*12+MONTH(O$3)-MONTH($E41))/$G41,0)*$G41)+$G41),EDATE($E41,MAX(0,ROUNDUP(((YEAR(O$3)-YEAR($E41))*12+MONTH(O$3)-MONTH($E41))/$G41,0)*$G41)))&gt;=O$3,IF(EDATE($E41,MAX(0,ROUNDUP(((YEAR(O$3)-YEAR($E41))*12+MONTH(O$3)-MONTH($E41))/$G41,0)*$G41))&lt;O$3,EDATE($E41,MAX(0,ROUNDUP(((YEAR(O$3)-YEAR($E41))*12+MONTH(O$3)-MONTH($E41))/$G41,0)*$G41)+$G41),EDATE($E41,MAX(0,ROUNDUP(((YEAR(O$3)-YEAR($E41))*12+MONTH(O$3)-MONTH($E41))/$G41,0)*$G41)))&lt;=IF($F41="",O$4,MIN(O$4,$F41))),1,0)))))</f>
        <v>0</v>
      </c>
      <c r="P41" s="25" t="n">
        <f aca="false">IF(OR($C41="",$C41=0,$E41="",$B41="",$G41=-2),0,$C41*IF($G41=0,IF(IF($F41="",P$4,MIN(P$4,$F41))&lt;$E41,0,MAX(0,INT((IF($F41="",P$4,MIN(P$4,$F41))-$E41)/7)+1-MAX(0,ROUNDUP((P$3-$E41)/7,0)))),IF($G41=101,(AND(EOMONTH(P$3,0)&gt;=MAX(P$3,$E41),EOMONTH(P$3,0)&lt;=IF($F41="",P$4,MIN(P$4,$F41)))*1+AND(EOMONTH(P$4,0)&lt;&gt;EOMONTH(P$3,0),EOMONTH(P$4,0)&gt;=MAX(P$3,$E41),EOMONTH(P$4,0)&lt;=IF($F41="",P$4,MIN(P$4,$F41)))*1),IF($G41=102,(AND(WORKDAY(EOMONTH(P$3,0)+1,-3)&gt;=MAX(P$3,$E41),WORKDAY(EOMONTH(P$3,0)+1,-3)&lt;=IF($F41="",P$4,MIN(P$4,$F41)))*1+AND(WORKDAY(EOMONTH(P$4,0)+1,-3)&lt;&gt;WORKDAY(EOMONTH(P$3,0)+1,-3),WORKDAY(EOMONTH(P$4,0)+1,-3)&gt;=MAX(P$3,$E41),WORKDAY(EOMONTH(P$4,0)+1,-3)&lt;=IF($F41="",P$4,MIN(P$4,$F41)))*1),IF(AND(IF(EDATE($E41,MAX(0,ROUNDUP(((YEAR(P$3)-YEAR($E41))*12+MONTH(P$3)-MONTH($E41))/$G41,0)*$G41))&lt;P$3,EDATE($E41,MAX(0,ROUNDUP(((YEAR(P$3)-YEAR($E41))*12+MONTH(P$3)-MONTH($E41))/$G41,0)*$G41)+$G41),EDATE($E41,MAX(0,ROUNDUP(((YEAR(P$3)-YEAR($E41))*12+MONTH(P$3)-MONTH($E41))/$G41,0)*$G41)))&gt;=P$3,IF(EDATE($E41,MAX(0,ROUNDUP(((YEAR(P$3)-YEAR($E41))*12+MONTH(P$3)-MONTH($E41))/$G41,0)*$G41))&lt;P$3,EDATE($E41,MAX(0,ROUNDUP(((YEAR(P$3)-YEAR($E41))*12+MONTH(P$3)-MONTH($E41))/$G41,0)*$G41)+$G41),EDATE($E41,MAX(0,ROUNDUP(((YEAR(P$3)-YEAR($E41))*12+MONTH(P$3)-MONTH($E41))/$G41,0)*$G41)))&lt;=IF($F41="",P$4,MIN(P$4,$F41))),1,0)))))</f>
        <v>0</v>
      </c>
      <c r="Q41" s="25" t="n">
        <f aca="false">IF(OR($C41="",$C41=0,$E41="",$B41="",$G41=-2),0,$C41*IF($G41=0,IF(IF($F41="",Q$4,MIN(Q$4,$F41))&lt;$E41,0,MAX(0,INT((IF($F41="",Q$4,MIN(Q$4,$F41))-$E41)/7)+1-MAX(0,ROUNDUP((Q$3-$E41)/7,0)))),IF($G41=101,(AND(EOMONTH(Q$3,0)&gt;=MAX(Q$3,$E41),EOMONTH(Q$3,0)&lt;=IF($F41="",Q$4,MIN(Q$4,$F41)))*1+AND(EOMONTH(Q$4,0)&lt;&gt;EOMONTH(Q$3,0),EOMONTH(Q$4,0)&gt;=MAX(Q$3,$E41),EOMONTH(Q$4,0)&lt;=IF($F41="",Q$4,MIN(Q$4,$F41)))*1),IF($G41=102,(AND(WORKDAY(EOMONTH(Q$3,0)+1,-3)&gt;=MAX(Q$3,$E41),WORKDAY(EOMONTH(Q$3,0)+1,-3)&lt;=IF($F41="",Q$4,MIN(Q$4,$F41)))*1+AND(WORKDAY(EOMONTH(Q$4,0)+1,-3)&lt;&gt;WORKDAY(EOMONTH(Q$3,0)+1,-3),WORKDAY(EOMONTH(Q$4,0)+1,-3)&gt;=MAX(Q$3,$E41),WORKDAY(EOMONTH(Q$4,0)+1,-3)&lt;=IF($F41="",Q$4,MIN(Q$4,$F41)))*1),IF(AND(IF(EDATE($E41,MAX(0,ROUNDUP(((YEAR(Q$3)-YEAR($E41))*12+MONTH(Q$3)-MONTH($E41))/$G41,0)*$G41))&lt;Q$3,EDATE($E41,MAX(0,ROUNDUP(((YEAR(Q$3)-YEAR($E41))*12+MONTH(Q$3)-MONTH($E41))/$G41,0)*$G41)+$G41),EDATE($E41,MAX(0,ROUNDUP(((YEAR(Q$3)-YEAR($E41))*12+MONTH(Q$3)-MONTH($E41))/$G41,0)*$G41)))&gt;=Q$3,IF(EDATE($E41,MAX(0,ROUNDUP(((YEAR(Q$3)-YEAR($E41))*12+MONTH(Q$3)-MONTH($E41))/$G41,0)*$G41))&lt;Q$3,EDATE($E41,MAX(0,ROUNDUP(((YEAR(Q$3)-YEAR($E41))*12+MONTH(Q$3)-MONTH($E41))/$G41,0)*$G41)+$G41),EDATE($E41,MAX(0,ROUNDUP(((YEAR(Q$3)-YEAR($E41))*12+MONTH(Q$3)-MONTH($E41))/$G41,0)*$G41)))&lt;=IF($F41="",Q$4,MIN(Q$4,$F41))),1,0)))))</f>
        <v>0</v>
      </c>
      <c r="R41" s="25" t="n">
        <f aca="false">IF(OR($C41="",$C41=0,$E41="",$B41="",$G41=-2),0,$C41*IF($G41=0,IF(IF($F41="",R$4,MIN(R$4,$F41))&lt;$E41,0,MAX(0,INT((IF($F41="",R$4,MIN(R$4,$F41))-$E41)/7)+1-MAX(0,ROUNDUP((R$3-$E41)/7,0)))),IF($G41=101,(AND(EOMONTH(R$3,0)&gt;=MAX(R$3,$E41),EOMONTH(R$3,0)&lt;=IF($F41="",R$4,MIN(R$4,$F41)))*1+AND(EOMONTH(R$4,0)&lt;&gt;EOMONTH(R$3,0),EOMONTH(R$4,0)&gt;=MAX(R$3,$E41),EOMONTH(R$4,0)&lt;=IF($F41="",R$4,MIN(R$4,$F41)))*1),IF($G41=102,(AND(WORKDAY(EOMONTH(R$3,0)+1,-3)&gt;=MAX(R$3,$E41),WORKDAY(EOMONTH(R$3,0)+1,-3)&lt;=IF($F41="",R$4,MIN(R$4,$F41)))*1+AND(WORKDAY(EOMONTH(R$4,0)+1,-3)&lt;&gt;WORKDAY(EOMONTH(R$3,0)+1,-3),WORKDAY(EOMONTH(R$4,0)+1,-3)&gt;=MAX(R$3,$E41),WORKDAY(EOMONTH(R$4,0)+1,-3)&lt;=IF($F41="",R$4,MIN(R$4,$F41)))*1),IF(AND(IF(EDATE($E41,MAX(0,ROUNDUP(((YEAR(R$3)-YEAR($E41))*12+MONTH(R$3)-MONTH($E41))/$G41,0)*$G41))&lt;R$3,EDATE($E41,MAX(0,ROUNDUP(((YEAR(R$3)-YEAR($E41))*12+MONTH(R$3)-MONTH($E41))/$G41,0)*$G41)+$G41),EDATE($E41,MAX(0,ROUNDUP(((YEAR(R$3)-YEAR($E41))*12+MONTH(R$3)-MONTH($E41))/$G41,0)*$G41)))&gt;=R$3,IF(EDATE($E41,MAX(0,ROUNDUP(((YEAR(R$3)-YEAR($E41))*12+MONTH(R$3)-MONTH($E41))/$G41,0)*$G41))&lt;R$3,EDATE($E41,MAX(0,ROUNDUP(((YEAR(R$3)-YEAR($E41))*12+MONTH(R$3)-MONTH($E41))/$G41,0)*$G41)+$G41),EDATE($E41,MAX(0,ROUNDUP(((YEAR(R$3)-YEAR($E41))*12+MONTH(R$3)-MONTH($E41))/$G41,0)*$G41)))&lt;=IF($F41="",R$4,MIN(R$4,$F41))),1,0)))))</f>
        <v>0</v>
      </c>
      <c r="S41" s="25" t="n">
        <f aca="false">IF(OR($C41="",$C41=0,$E41="",$B41="",$G41=-2),0,$C41*IF($G41=0,IF(IF($F41="",S$4,MIN(S$4,$F41))&lt;$E41,0,MAX(0,INT((IF($F41="",S$4,MIN(S$4,$F41))-$E41)/7)+1-MAX(0,ROUNDUP((S$3-$E41)/7,0)))),IF($G41=101,(AND(EOMONTH(S$3,0)&gt;=MAX(S$3,$E41),EOMONTH(S$3,0)&lt;=IF($F41="",S$4,MIN(S$4,$F41)))*1+AND(EOMONTH(S$4,0)&lt;&gt;EOMONTH(S$3,0),EOMONTH(S$4,0)&gt;=MAX(S$3,$E41),EOMONTH(S$4,0)&lt;=IF($F41="",S$4,MIN(S$4,$F41)))*1),IF($G41=102,(AND(WORKDAY(EOMONTH(S$3,0)+1,-3)&gt;=MAX(S$3,$E41),WORKDAY(EOMONTH(S$3,0)+1,-3)&lt;=IF($F41="",S$4,MIN(S$4,$F41)))*1+AND(WORKDAY(EOMONTH(S$4,0)+1,-3)&lt;&gt;WORKDAY(EOMONTH(S$3,0)+1,-3),WORKDAY(EOMONTH(S$4,0)+1,-3)&gt;=MAX(S$3,$E41),WORKDAY(EOMONTH(S$4,0)+1,-3)&lt;=IF($F41="",S$4,MIN(S$4,$F41)))*1),IF(AND(IF(EDATE($E41,MAX(0,ROUNDUP(((YEAR(S$3)-YEAR($E41))*12+MONTH(S$3)-MONTH($E41))/$G41,0)*$G41))&lt;S$3,EDATE($E41,MAX(0,ROUNDUP(((YEAR(S$3)-YEAR($E41))*12+MONTH(S$3)-MONTH($E41))/$G41,0)*$G41)+$G41),EDATE($E41,MAX(0,ROUNDUP(((YEAR(S$3)-YEAR($E41))*12+MONTH(S$3)-MONTH($E41))/$G41,0)*$G41)))&gt;=S$3,IF(EDATE($E41,MAX(0,ROUNDUP(((YEAR(S$3)-YEAR($E41))*12+MONTH(S$3)-MONTH($E41))/$G41,0)*$G41))&lt;S$3,EDATE($E41,MAX(0,ROUNDUP(((YEAR(S$3)-YEAR($E41))*12+MONTH(S$3)-MONTH($E41))/$G41,0)*$G41)+$G41),EDATE($E41,MAX(0,ROUNDUP(((YEAR(S$3)-YEAR($E41))*12+MONTH(S$3)-MONTH($E41))/$G41,0)*$G41)))&lt;=IF($F41="",S$4,MIN(S$4,$F41))),1,0)))))</f>
        <v>0</v>
      </c>
      <c r="T41" s="25" t="n">
        <f aca="false">IF(OR($C41="",$C41=0,$E41="",$B41="",$G41=-2),0,$C41*IF($G41=0,IF(IF($F41="",T$4,MIN(T$4,$F41))&lt;$E41,0,MAX(0,INT((IF($F41="",T$4,MIN(T$4,$F41))-$E41)/7)+1-MAX(0,ROUNDUP((T$3-$E41)/7,0)))),IF($G41=101,(AND(EOMONTH(T$3,0)&gt;=MAX(T$3,$E41),EOMONTH(T$3,0)&lt;=IF($F41="",T$4,MIN(T$4,$F41)))*1+AND(EOMONTH(T$4,0)&lt;&gt;EOMONTH(T$3,0),EOMONTH(T$4,0)&gt;=MAX(T$3,$E41),EOMONTH(T$4,0)&lt;=IF($F41="",T$4,MIN(T$4,$F41)))*1),IF($G41=102,(AND(WORKDAY(EOMONTH(T$3,0)+1,-3)&gt;=MAX(T$3,$E41),WORKDAY(EOMONTH(T$3,0)+1,-3)&lt;=IF($F41="",T$4,MIN(T$4,$F41)))*1+AND(WORKDAY(EOMONTH(T$4,0)+1,-3)&lt;&gt;WORKDAY(EOMONTH(T$3,0)+1,-3),WORKDAY(EOMONTH(T$4,0)+1,-3)&gt;=MAX(T$3,$E41),WORKDAY(EOMONTH(T$4,0)+1,-3)&lt;=IF($F41="",T$4,MIN(T$4,$F41)))*1),IF(AND(IF(EDATE($E41,MAX(0,ROUNDUP(((YEAR(T$3)-YEAR($E41))*12+MONTH(T$3)-MONTH($E41))/$G41,0)*$G41))&lt;T$3,EDATE($E41,MAX(0,ROUNDUP(((YEAR(T$3)-YEAR($E41))*12+MONTH(T$3)-MONTH($E41))/$G41,0)*$G41)+$G41),EDATE($E41,MAX(0,ROUNDUP(((YEAR(T$3)-YEAR($E41))*12+MONTH(T$3)-MONTH($E41))/$G41,0)*$G41)))&gt;=T$3,IF(EDATE($E41,MAX(0,ROUNDUP(((YEAR(T$3)-YEAR($E41))*12+MONTH(T$3)-MONTH($E41))/$G41,0)*$G41))&lt;T$3,EDATE($E41,MAX(0,ROUNDUP(((YEAR(T$3)-YEAR($E41))*12+MONTH(T$3)-MONTH($E41))/$G41,0)*$G41)+$G41),EDATE($E41,MAX(0,ROUNDUP(((YEAR(T$3)-YEAR($E41))*12+MONTH(T$3)-MONTH($E41))/$G41,0)*$G41)))&lt;=IF($F41="",T$4,MIN(T$4,$F41))),1,0)))))</f>
        <v>0</v>
      </c>
      <c r="U41" s="25" t="n">
        <f aca="false">IF(OR($C41="",$C41=0,$E41="",$B41="",$G41=-2),0,$C41*IF($G41=0,IF(IF($F41="",U$4,MIN(U$4,$F41))&lt;$E41,0,MAX(0,INT((IF($F41="",U$4,MIN(U$4,$F41))-$E41)/7)+1-MAX(0,ROUNDUP((U$3-$E41)/7,0)))),IF($G41=101,(AND(EOMONTH(U$3,0)&gt;=MAX(U$3,$E41),EOMONTH(U$3,0)&lt;=IF($F41="",U$4,MIN(U$4,$F41)))*1+AND(EOMONTH(U$4,0)&lt;&gt;EOMONTH(U$3,0),EOMONTH(U$4,0)&gt;=MAX(U$3,$E41),EOMONTH(U$4,0)&lt;=IF($F41="",U$4,MIN(U$4,$F41)))*1),IF($G41=102,(AND(WORKDAY(EOMONTH(U$3,0)+1,-3)&gt;=MAX(U$3,$E41),WORKDAY(EOMONTH(U$3,0)+1,-3)&lt;=IF($F41="",U$4,MIN(U$4,$F41)))*1+AND(WORKDAY(EOMONTH(U$4,0)+1,-3)&lt;&gt;WORKDAY(EOMONTH(U$3,0)+1,-3),WORKDAY(EOMONTH(U$4,0)+1,-3)&gt;=MAX(U$3,$E41),WORKDAY(EOMONTH(U$4,0)+1,-3)&lt;=IF($F41="",U$4,MIN(U$4,$F41)))*1),IF(AND(IF(EDATE($E41,MAX(0,ROUNDUP(((YEAR(U$3)-YEAR($E41))*12+MONTH(U$3)-MONTH($E41))/$G41,0)*$G41))&lt;U$3,EDATE($E41,MAX(0,ROUNDUP(((YEAR(U$3)-YEAR($E41))*12+MONTH(U$3)-MONTH($E41))/$G41,0)*$G41)+$G41),EDATE($E41,MAX(0,ROUNDUP(((YEAR(U$3)-YEAR($E41))*12+MONTH(U$3)-MONTH($E41))/$G41,0)*$G41)))&gt;=U$3,IF(EDATE($E41,MAX(0,ROUNDUP(((YEAR(U$3)-YEAR($E41))*12+MONTH(U$3)-MONTH($E41))/$G41,0)*$G41))&lt;U$3,EDATE($E41,MAX(0,ROUNDUP(((YEAR(U$3)-YEAR($E41))*12+MONTH(U$3)-MONTH($E41))/$G41,0)*$G41)+$G41),EDATE($E41,MAX(0,ROUNDUP(((YEAR(U$3)-YEAR($E41))*12+MONTH(U$3)-MONTH($E41))/$G41,0)*$G41)))&lt;=IF($F41="",U$4,MIN(U$4,$F41))),1,0)))))</f>
        <v>0</v>
      </c>
      <c r="V41" s="25" t="n">
        <f aca="false">IF(OR($C41="",$C41=0,$E41="",$B41="",$G41=-2),0,$C41*IF($G41=0,IF(IF($F41="",V$4,MIN(V$4,$F41))&lt;$E41,0,MAX(0,INT((IF($F41="",V$4,MIN(V$4,$F41))-$E41)/7)+1-MAX(0,ROUNDUP((V$3-$E41)/7,0)))),IF($G41=101,(AND(EOMONTH(V$3,0)&gt;=MAX(V$3,$E41),EOMONTH(V$3,0)&lt;=IF($F41="",V$4,MIN(V$4,$F41)))*1+AND(EOMONTH(V$4,0)&lt;&gt;EOMONTH(V$3,0),EOMONTH(V$4,0)&gt;=MAX(V$3,$E41),EOMONTH(V$4,0)&lt;=IF($F41="",V$4,MIN(V$4,$F41)))*1),IF($G41=102,(AND(WORKDAY(EOMONTH(V$3,0)+1,-3)&gt;=MAX(V$3,$E41),WORKDAY(EOMONTH(V$3,0)+1,-3)&lt;=IF($F41="",V$4,MIN(V$4,$F41)))*1+AND(WORKDAY(EOMONTH(V$4,0)+1,-3)&lt;&gt;WORKDAY(EOMONTH(V$3,0)+1,-3),WORKDAY(EOMONTH(V$4,0)+1,-3)&gt;=MAX(V$3,$E41),WORKDAY(EOMONTH(V$4,0)+1,-3)&lt;=IF($F41="",V$4,MIN(V$4,$F41)))*1),IF(AND(IF(EDATE($E41,MAX(0,ROUNDUP(((YEAR(V$3)-YEAR($E41))*12+MONTH(V$3)-MONTH($E41))/$G41,0)*$G41))&lt;V$3,EDATE($E41,MAX(0,ROUNDUP(((YEAR(V$3)-YEAR($E41))*12+MONTH(V$3)-MONTH($E41))/$G41,0)*$G41)+$G41),EDATE($E41,MAX(0,ROUNDUP(((YEAR(V$3)-YEAR($E41))*12+MONTH(V$3)-MONTH($E41))/$G41,0)*$G41)))&gt;=V$3,IF(EDATE($E41,MAX(0,ROUNDUP(((YEAR(V$3)-YEAR($E41))*12+MONTH(V$3)-MONTH($E41))/$G41,0)*$G41))&lt;V$3,EDATE($E41,MAX(0,ROUNDUP(((YEAR(V$3)-YEAR($E41))*12+MONTH(V$3)-MONTH($E41))/$G41,0)*$G41)+$G41),EDATE($E41,MAX(0,ROUNDUP(((YEAR(V$3)-YEAR($E41))*12+MONTH(V$3)-MONTH($E41))/$G41,0)*$G41)))&lt;=IF($F41="",V$4,MIN(V$4,$F41))),1,0)))))</f>
        <v>0</v>
      </c>
      <c r="W41" s="25" t="n">
        <f aca="false">IF(OR($C41="",$C41=0,$E41="",$B41="",$G41=-2),0,$C41*IF($G41=0,IF(IF($F41="",W$4,MIN(W$4,$F41))&lt;$E41,0,MAX(0,INT((IF($F41="",W$4,MIN(W$4,$F41))-$E41)/7)+1-MAX(0,ROUNDUP((W$3-$E41)/7,0)))),IF($G41=101,(AND(EOMONTH(W$3,0)&gt;=MAX(W$3,$E41),EOMONTH(W$3,0)&lt;=IF($F41="",W$4,MIN(W$4,$F41)))*1+AND(EOMONTH(W$4,0)&lt;&gt;EOMONTH(W$3,0),EOMONTH(W$4,0)&gt;=MAX(W$3,$E41),EOMONTH(W$4,0)&lt;=IF($F41="",W$4,MIN(W$4,$F41)))*1),IF($G41=102,(AND(WORKDAY(EOMONTH(W$3,0)+1,-3)&gt;=MAX(W$3,$E41),WORKDAY(EOMONTH(W$3,0)+1,-3)&lt;=IF($F41="",W$4,MIN(W$4,$F41)))*1+AND(WORKDAY(EOMONTH(W$4,0)+1,-3)&lt;&gt;WORKDAY(EOMONTH(W$3,0)+1,-3),WORKDAY(EOMONTH(W$4,0)+1,-3)&gt;=MAX(W$3,$E41),WORKDAY(EOMONTH(W$4,0)+1,-3)&lt;=IF($F41="",W$4,MIN(W$4,$F41)))*1),IF(AND(IF(EDATE($E41,MAX(0,ROUNDUP(((YEAR(W$3)-YEAR($E41))*12+MONTH(W$3)-MONTH($E41))/$G41,0)*$G41))&lt;W$3,EDATE($E41,MAX(0,ROUNDUP(((YEAR(W$3)-YEAR($E41))*12+MONTH(W$3)-MONTH($E41))/$G41,0)*$G41)+$G41),EDATE($E41,MAX(0,ROUNDUP(((YEAR(W$3)-YEAR($E41))*12+MONTH(W$3)-MONTH($E41))/$G41,0)*$G41)))&gt;=W$3,IF(EDATE($E41,MAX(0,ROUNDUP(((YEAR(W$3)-YEAR($E41))*12+MONTH(W$3)-MONTH($E41))/$G41,0)*$G41))&lt;W$3,EDATE($E41,MAX(0,ROUNDUP(((YEAR(W$3)-YEAR($E41))*12+MONTH(W$3)-MONTH($E41))/$G41,0)*$G41)+$G41),EDATE($E41,MAX(0,ROUNDUP(((YEAR(W$3)-YEAR($E41))*12+MONTH(W$3)-MONTH($E41))/$G41,0)*$G41)))&lt;=IF($F41="",W$4,MIN(W$4,$F41))),1,0)))))</f>
        <v>0</v>
      </c>
      <c r="X41" s="25" t="n">
        <f aca="false">IF(OR($C41="",$C41=0,$E41="",$B41="",$G41=-2),0,$C41*IF($G41=0,IF(IF($F41="",X$4,MIN(X$4,$F41))&lt;$E41,0,MAX(0,INT((IF($F41="",X$4,MIN(X$4,$F41))-$E41)/7)+1-MAX(0,ROUNDUP((X$3-$E41)/7,0)))),IF($G41=101,(AND(EOMONTH(X$3,0)&gt;=MAX(X$3,$E41),EOMONTH(X$3,0)&lt;=IF($F41="",X$4,MIN(X$4,$F41)))*1+AND(EOMONTH(X$4,0)&lt;&gt;EOMONTH(X$3,0),EOMONTH(X$4,0)&gt;=MAX(X$3,$E41),EOMONTH(X$4,0)&lt;=IF($F41="",X$4,MIN(X$4,$F41)))*1),IF($G41=102,(AND(WORKDAY(EOMONTH(X$3,0)+1,-3)&gt;=MAX(X$3,$E41),WORKDAY(EOMONTH(X$3,0)+1,-3)&lt;=IF($F41="",X$4,MIN(X$4,$F41)))*1+AND(WORKDAY(EOMONTH(X$4,0)+1,-3)&lt;&gt;WORKDAY(EOMONTH(X$3,0)+1,-3),WORKDAY(EOMONTH(X$4,0)+1,-3)&gt;=MAX(X$3,$E41),WORKDAY(EOMONTH(X$4,0)+1,-3)&lt;=IF($F41="",X$4,MIN(X$4,$F41)))*1),IF(AND(IF(EDATE($E41,MAX(0,ROUNDUP(((YEAR(X$3)-YEAR($E41))*12+MONTH(X$3)-MONTH($E41))/$G41,0)*$G41))&lt;X$3,EDATE($E41,MAX(0,ROUNDUP(((YEAR(X$3)-YEAR($E41))*12+MONTH(X$3)-MONTH($E41))/$G41,0)*$G41)+$G41),EDATE($E41,MAX(0,ROUNDUP(((YEAR(X$3)-YEAR($E41))*12+MONTH(X$3)-MONTH($E41))/$G41,0)*$G41)))&gt;=X$3,IF(EDATE($E41,MAX(0,ROUNDUP(((YEAR(X$3)-YEAR($E41))*12+MONTH(X$3)-MONTH($E41))/$G41,0)*$G41))&lt;X$3,EDATE($E41,MAX(0,ROUNDUP(((YEAR(X$3)-YEAR($E41))*12+MONTH(X$3)-MONTH($E41))/$G41,0)*$G41)+$G41),EDATE($E41,MAX(0,ROUNDUP(((YEAR(X$3)-YEAR($E41))*12+MONTH(X$3)-MONTH($E41))/$G41,0)*$G41)))&lt;=IF($F41="",X$4,MIN(X$4,$F41))),1,0)))))</f>
        <v>0</v>
      </c>
      <c r="Y41" s="25" t="n">
        <f aca="false">IF(OR($C41="",$C41=0,$E41="",$B41="",$G41=-2),0,$C41*IF($G41=0,IF(IF($F41="",Y$4,MIN(Y$4,$F41))&lt;$E41,0,MAX(0,INT((IF($F41="",Y$4,MIN(Y$4,$F41))-$E41)/7)+1-MAX(0,ROUNDUP((Y$3-$E41)/7,0)))),IF($G41=101,(AND(EOMONTH(Y$3,0)&gt;=MAX(Y$3,$E41),EOMONTH(Y$3,0)&lt;=IF($F41="",Y$4,MIN(Y$4,$F41)))*1+AND(EOMONTH(Y$4,0)&lt;&gt;EOMONTH(Y$3,0),EOMONTH(Y$4,0)&gt;=MAX(Y$3,$E41),EOMONTH(Y$4,0)&lt;=IF($F41="",Y$4,MIN(Y$4,$F41)))*1),IF($G41=102,(AND(WORKDAY(EOMONTH(Y$3,0)+1,-3)&gt;=MAX(Y$3,$E41),WORKDAY(EOMONTH(Y$3,0)+1,-3)&lt;=IF($F41="",Y$4,MIN(Y$4,$F41)))*1+AND(WORKDAY(EOMONTH(Y$4,0)+1,-3)&lt;&gt;WORKDAY(EOMONTH(Y$3,0)+1,-3),WORKDAY(EOMONTH(Y$4,0)+1,-3)&gt;=MAX(Y$3,$E41),WORKDAY(EOMONTH(Y$4,0)+1,-3)&lt;=IF($F41="",Y$4,MIN(Y$4,$F41)))*1),IF(AND(IF(EDATE($E41,MAX(0,ROUNDUP(((YEAR(Y$3)-YEAR($E41))*12+MONTH(Y$3)-MONTH($E41))/$G41,0)*$G41))&lt;Y$3,EDATE($E41,MAX(0,ROUNDUP(((YEAR(Y$3)-YEAR($E41))*12+MONTH(Y$3)-MONTH($E41))/$G41,0)*$G41)+$G41),EDATE($E41,MAX(0,ROUNDUP(((YEAR(Y$3)-YEAR($E41))*12+MONTH(Y$3)-MONTH($E41))/$G41,0)*$G41)))&gt;=Y$3,IF(EDATE($E41,MAX(0,ROUNDUP(((YEAR(Y$3)-YEAR($E41))*12+MONTH(Y$3)-MONTH($E41))/$G41,0)*$G41))&lt;Y$3,EDATE($E41,MAX(0,ROUNDUP(((YEAR(Y$3)-YEAR($E41))*12+MONTH(Y$3)-MONTH($E41))/$G41,0)*$G41)+$G41),EDATE($E41,MAX(0,ROUNDUP(((YEAR(Y$3)-YEAR($E41))*12+MONTH(Y$3)-MONTH($E41))/$G41,0)*$G41)))&lt;=IF($F41="",Y$4,MIN(Y$4,$F41))),1,0)))))</f>
        <v>0</v>
      </c>
      <c r="Z41" s="25" t="n">
        <f aca="false">IF(OR($C41="",$C41=0,$E41="",$B41="",$G41=-2),0,$C41*IF($G41=0,IF(IF($F41="",Z$4,MIN(Z$4,$F41))&lt;$E41,0,MAX(0,INT((IF($F41="",Z$4,MIN(Z$4,$F41))-$E41)/7)+1-MAX(0,ROUNDUP((Z$3-$E41)/7,0)))),IF($G41=101,(AND(EOMONTH(Z$3,0)&gt;=MAX(Z$3,$E41),EOMONTH(Z$3,0)&lt;=IF($F41="",Z$4,MIN(Z$4,$F41)))*1+AND(EOMONTH(Z$4,0)&lt;&gt;EOMONTH(Z$3,0),EOMONTH(Z$4,0)&gt;=MAX(Z$3,$E41),EOMONTH(Z$4,0)&lt;=IF($F41="",Z$4,MIN(Z$4,$F41)))*1),IF($G41=102,(AND(WORKDAY(EOMONTH(Z$3,0)+1,-3)&gt;=MAX(Z$3,$E41),WORKDAY(EOMONTH(Z$3,0)+1,-3)&lt;=IF($F41="",Z$4,MIN(Z$4,$F41)))*1+AND(WORKDAY(EOMONTH(Z$4,0)+1,-3)&lt;&gt;WORKDAY(EOMONTH(Z$3,0)+1,-3),WORKDAY(EOMONTH(Z$4,0)+1,-3)&gt;=MAX(Z$3,$E41),WORKDAY(EOMONTH(Z$4,0)+1,-3)&lt;=IF($F41="",Z$4,MIN(Z$4,$F41)))*1),IF(AND(IF(EDATE($E41,MAX(0,ROUNDUP(((YEAR(Z$3)-YEAR($E41))*12+MONTH(Z$3)-MONTH($E41))/$G41,0)*$G41))&lt;Z$3,EDATE($E41,MAX(0,ROUNDUP(((YEAR(Z$3)-YEAR($E41))*12+MONTH(Z$3)-MONTH($E41))/$G41,0)*$G41)+$G41),EDATE($E41,MAX(0,ROUNDUP(((YEAR(Z$3)-YEAR($E41))*12+MONTH(Z$3)-MONTH($E41))/$G41,0)*$G41)))&gt;=Z$3,IF(EDATE($E41,MAX(0,ROUNDUP(((YEAR(Z$3)-YEAR($E41))*12+MONTH(Z$3)-MONTH($E41))/$G41,0)*$G41))&lt;Z$3,EDATE($E41,MAX(0,ROUNDUP(((YEAR(Z$3)-YEAR($E41))*12+MONTH(Z$3)-MONTH($E41))/$G41,0)*$G41)+$G41),EDATE($E41,MAX(0,ROUNDUP(((YEAR(Z$3)-YEAR($E41))*12+MONTH(Z$3)-MONTH($E41))/$G41,0)*$G41)))&lt;=IF($F41="",Z$4,MIN(Z$4,$F41))),1,0)))))</f>
        <v>0</v>
      </c>
      <c r="AA41" s="25" t="n">
        <f aca="false">IF(OR($C41="",$C41=0,$E41="",$B41="",$G41=-2),0,$C41*IF($G41=0,IF(IF($F41="",AA$4,MIN(AA$4,$F41))&lt;$E41,0,MAX(0,INT((IF($F41="",AA$4,MIN(AA$4,$F41))-$E41)/7)+1-MAX(0,ROUNDUP((AA$3-$E41)/7,0)))),IF($G41=101,(AND(EOMONTH(AA$3,0)&gt;=MAX(AA$3,$E41),EOMONTH(AA$3,0)&lt;=IF($F41="",AA$4,MIN(AA$4,$F41)))*1+AND(EOMONTH(AA$4,0)&lt;&gt;EOMONTH(AA$3,0),EOMONTH(AA$4,0)&gt;=MAX(AA$3,$E41),EOMONTH(AA$4,0)&lt;=IF($F41="",AA$4,MIN(AA$4,$F41)))*1),IF($G41=102,(AND(WORKDAY(EOMONTH(AA$3,0)+1,-3)&gt;=MAX(AA$3,$E41),WORKDAY(EOMONTH(AA$3,0)+1,-3)&lt;=IF($F41="",AA$4,MIN(AA$4,$F41)))*1+AND(WORKDAY(EOMONTH(AA$4,0)+1,-3)&lt;&gt;WORKDAY(EOMONTH(AA$3,0)+1,-3),WORKDAY(EOMONTH(AA$4,0)+1,-3)&gt;=MAX(AA$3,$E41),WORKDAY(EOMONTH(AA$4,0)+1,-3)&lt;=IF($F41="",AA$4,MIN(AA$4,$F41)))*1),IF(AND(IF(EDATE($E41,MAX(0,ROUNDUP(((YEAR(AA$3)-YEAR($E41))*12+MONTH(AA$3)-MONTH($E41))/$G41,0)*$G41))&lt;AA$3,EDATE($E41,MAX(0,ROUNDUP(((YEAR(AA$3)-YEAR($E41))*12+MONTH(AA$3)-MONTH($E41))/$G41,0)*$G41)+$G41),EDATE($E41,MAX(0,ROUNDUP(((YEAR(AA$3)-YEAR($E41))*12+MONTH(AA$3)-MONTH($E41))/$G41,0)*$G41)))&gt;=AA$3,IF(EDATE($E41,MAX(0,ROUNDUP(((YEAR(AA$3)-YEAR($E41))*12+MONTH(AA$3)-MONTH($E41))/$G41,0)*$G41))&lt;AA$3,EDATE($E41,MAX(0,ROUNDUP(((YEAR(AA$3)-YEAR($E41))*12+MONTH(AA$3)-MONTH($E41))/$G41,0)*$G41)+$G41),EDATE($E41,MAX(0,ROUNDUP(((YEAR(AA$3)-YEAR($E41))*12+MONTH(AA$3)-MONTH($E41))/$G41,0)*$G41)))&lt;=IF($F41="",AA$4,MIN(AA$4,$F41))),1,0)))))</f>
        <v>0</v>
      </c>
      <c r="AB41" s="25" t="n">
        <f aca="false">IF(OR($C41="",$C41=0,$E41="",$B41="",$G41=-2),0,$C41*IF($G41=0,IF(IF($F41="",AB$4,MIN(AB$4,$F41))&lt;$E41,0,MAX(0,INT((IF($F41="",AB$4,MIN(AB$4,$F41))-$E41)/7)+1-MAX(0,ROUNDUP((AB$3-$E41)/7,0)))),IF($G41=101,(AND(EOMONTH(AB$3,0)&gt;=MAX(AB$3,$E41),EOMONTH(AB$3,0)&lt;=IF($F41="",AB$4,MIN(AB$4,$F41)))*1+AND(EOMONTH(AB$4,0)&lt;&gt;EOMONTH(AB$3,0),EOMONTH(AB$4,0)&gt;=MAX(AB$3,$E41),EOMONTH(AB$4,0)&lt;=IF($F41="",AB$4,MIN(AB$4,$F41)))*1),IF($G41=102,(AND(WORKDAY(EOMONTH(AB$3,0)+1,-3)&gt;=MAX(AB$3,$E41),WORKDAY(EOMONTH(AB$3,0)+1,-3)&lt;=IF($F41="",AB$4,MIN(AB$4,$F41)))*1+AND(WORKDAY(EOMONTH(AB$4,0)+1,-3)&lt;&gt;WORKDAY(EOMONTH(AB$3,0)+1,-3),WORKDAY(EOMONTH(AB$4,0)+1,-3)&gt;=MAX(AB$3,$E41),WORKDAY(EOMONTH(AB$4,0)+1,-3)&lt;=IF($F41="",AB$4,MIN(AB$4,$F41)))*1),IF(AND(IF(EDATE($E41,MAX(0,ROUNDUP(((YEAR(AB$3)-YEAR($E41))*12+MONTH(AB$3)-MONTH($E41))/$G41,0)*$G41))&lt;AB$3,EDATE($E41,MAX(0,ROUNDUP(((YEAR(AB$3)-YEAR($E41))*12+MONTH(AB$3)-MONTH($E41))/$G41,0)*$G41)+$G41),EDATE($E41,MAX(0,ROUNDUP(((YEAR(AB$3)-YEAR($E41))*12+MONTH(AB$3)-MONTH($E41))/$G41,0)*$G41)))&gt;=AB$3,IF(EDATE($E41,MAX(0,ROUNDUP(((YEAR(AB$3)-YEAR($E41))*12+MONTH(AB$3)-MONTH($E41))/$G41,0)*$G41))&lt;AB$3,EDATE($E41,MAX(0,ROUNDUP(((YEAR(AB$3)-YEAR($E41))*12+MONTH(AB$3)-MONTH($E41))/$G41,0)*$G41)+$G41),EDATE($E41,MAX(0,ROUNDUP(((YEAR(AB$3)-YEAR($E41))*12+MONTH(AB$3)-MONTH($E41))/$G41,0)*$G41)))&lt;=IF($F41="",AB$4,MIN(AB$4,$F41))),1,0)))))</f>
        <v>0</v>
      </c>
      <c r="AC41" s="25" t="n">
        <f aca="false">IF(OR($C41="",$C41=0,$E41="",$B41="",$G41=-2),0,$C41*IF($G41=0,IF(IF($F41="",AC$4,MIN(AC$4,$F41))&lt;$E41,0,MAX(0,INT((IF($F41="",AC$4,MIN(AC$4,$F41))-$E41)/7)+1-MAX(0,ROUNDUP((AC$3-$E41)/7,0)))),IF($G41=101,(AND(EOMONTH(AC$3,0)&gt;=MAX(AC$3,$E41),EOMONTH(AC$3,0)&lt;=IF($F41="",AC$4,MIN(AC$4,$F41)))*1+AND(EOMONTH(AC$4,0)&lt;&gt;EOMONTH(AC$3,0),EOMONTH(AC$4,0)&gt;=MAX(AC$3,$E41),EOMONTH(AC$4,0)&lt;=IF($F41="",AC$4,MIN(AC$4,$F41)))*1),IF($G41=102,(AND(WORKDAY(EOMONTH(AC$3,0)+1,-3)&gt;=MAX(AC$3,$E41),WORKDAY(EOMONTH(AC$3,0)+1,-3)&lt;=IF($F41="",AC$4,MIN(AC$4,$F41)))*1+AND(WORKDAY(EOMONTH(AC$4,0)+1,-3)&lt;&gt;WORKDAY(EOMONTH(AC$3,0)+1,-3),WORKDAY(EOMONTH(AC$4,0)+1,-3)&gt;=MAX(AC$3,$E41),WORKDAY(EOMONTH(AC$4,0)+1,-3)&lt;=IF($F41="",AC$4,MIN(AC$4,$F41)))*1),IF(AND(IF(EDATE($E41,MAX(0,ROUNDUP(((YEAR(AC$3)-YEAR($E41))*12+MONTH(AC$3)-MONTH($E41))/$G41,0)*$G41))&lt;AC$3,EDATE($E41,MAX(0,ROUNDUP(((YEAR(AC$3)-YEAR($E41))*12+MONTH(AC$3)-MONTH($E41))/$G41,0)*$G41)+$G41),EDATE($E41,MAX(0,ROUNDUP(((YEAR(AC$3)-YEAR($E41))*12+MONTH(AC$3)-MONTH($E41))/$G41,0)*$G41)))&gt;=AC$3,IF(EDATE($E41,MAX(0,ROUNDUP(((YEAR(AC$3)-YEAR($E41))*12+MONTH(AC$3)-MONTH($E41))/$G41,0)*$G41))&lt;AC$3,EDATE($E41,MAX(0,ROUNDUP(((YEAR(AC$3)-YEAR($E41))*12+MONTH(AC$3)-MONTH($E41))/$G41,0)*$G41)+$G41),EDATE($E41,MAX(0,ROUNDUP(((YEAR(AC$3)-YEAR($E41))*12+MONTH(AC$3)-MONTH($E41))/$G41,0)*$G41)))&lt;=IF($F41="",AC$4,MIN(AC$4,$F41))),1,0)))))</f>
        <v>0</v>
      </c>
      <c r="AD41" s="25" t="n">
        <f aca="false">IF(OR($C41="",$C41=0,$E41="",$B41="",$G41=-2),0,$C41*IF($G41=0,IF(IF($F41="",AD$4,MIN(AD$4,$F41))&lt;$E41,0,MAX(0,INT((IF($F41="",AD$4,MIN(AD$4,$F41))-$E41)/7)+1-MAX(0,ROUNDUP((AD$3-$E41)/7,0)))),IF($G41=101,(AND(EOMONTH(AD$3,0)&gt;=MAX(AD$3,$E41),EOMONTH(AD$3,0)&lt;=IF($F41="",AD$4,MIN(AD$4,$F41)))*1+AND(EOMONTH(AD$4,0)&lt;&gt;EOMONTH(AD$3,0),EOMONTH(AD$4,0)&gt;=MAX(AD$3,$E41),EOMONTH(AD$4,0)&lt;=IF($F41="",AD$4,MIN(AD$4,$F41)))*1),IF($G41=102,(AND(WORKDAY(EOMONTH(AD$3,0)+1,-3)&gt;=MAX(AD$3,$E41),WORKDAY(EOMONTH(AD$3,0)+1,-3)&lt;=IF($F41="",AD$4,MIN(AD$4,$F41)))*1+AND(WORKDAY(EOMONTH(AD$4,0)+1,-3)&lt;&gt;WORKDAY(EOMONTH(AD$3,0)+1,-3),WORKDAY(EOMONTH(AD$4,0)+1,-3)&gt;=MAX(AD$3,$E41),WORKDAY(EOMONTH(AD$4,0)+1,-3)&lt;=IF($F41="",AD$4,MIN(AD$4,$F41)))*1),IF(AND(IF(EDATE($E41,MAX(0,ROUNDUP(((YEAR(AD$3)-YEAR($E41))*12+MONTH(AD$3)-MONTH($E41))/$G41,0)*$G41))&lt;AD$3,EDATE($E41,MAX(0,ROUNDUP(((YEAR(AD$3)-YEAR($E41))*12+MONTH(AD$3)-MONTH($E41))/$G41,0)*$G41)+$G41),EDATE($E41,MAX(0,ROUNDUP(((YEAR(AD$3)-YEAR($E41))*12+MONTH(AD$3)-MONTH($E41))/$G41,0)*$G41)))&gt;=AD$3,IF(EDATE($E41,MAX(0,ROUNDUP(((YEAR(AD$3)-YEAR($E41))*12+MONTH(AD$3)-MONTH($E41))/$G41,0)*$G41))&lt;AD$3,EDATE($E41,MAX(0,ROUNDUP(((YEAR(AD$3)-YEAR($E41))*12+MONTH(AD$3)-MONTH($E41))/$G41,0)*$G41)+$G41),EDATE($E41,MAX(0,ROUNDUP(((YEAR(AD$3)-YEAR($E41))*12+MONTH(AD$3)-MONTH($E41))/$G41,0)*$G41)))&lt;=IF($F41="",AD$4,MIN(AD$4,$F41))),1,0)))))</f>
        <v>0</v>
      </c>
      <c r="AE41" s="25" t="n">
        <f aca="false">IF(OR($C41="",$C41=0,$E41="",$B41="",$G41=-2),0,$C41*IF($G41=0,IF(IF($F41="",AE$4,MIN(AE$4,$F41))&lt;$E41,0,MAX(0,INT((IF($F41="",AE$4,MIN(AE$4,$F41))-$E41)/7)+1-MAX(0,ROUNDUP((AE$3-$E41)/7,0)))),IF($G41=101,(AND(EOMONTH(AE$3,0)&gt;=MAX(AE$3,$E41),EOMONTH(AE$3,0)&lt;=IF($F41="",AE$4,MIN(AE$4,$F41)))*1+AND(EOMONTH(AE$4,0)&lt;&gt;EOMONTH(AE$3,0),EOMONTH(AE$4,0)&gt;=MAX(AE$3,$E41),EOMONTH(AE$4,0)&lt;=IF($F41="",AE$4,MIN(AE$4,$F41)))*1),IF($G41=102,(AND(WORKDAY(EOMONTH(AE$3,0)+1,-3)&gt;=MAX(AE$3,$E41),WORKDAY(EOMONTH(AE$3,0)+1,-3)&lt;=IF($F41="",AE$4,MIN(AE$4,$F41)))*1+AND(WORKDAY(EOMONTH(AE$4,0)+1,-3)&lt;&gt;WORKDAY(EOMONTH(AE$3,0)+1,-3),WORKDAY(EOMONTH(AE$4,0)+1,-3)&gt;=MAX(AE$3,$E41),WORKDAY(EOMONTH(AE$4,0)+1,-3)&lt;=IF($F41="",AE$4,MIN(AE$4,$F41)))*1),IF(AND(IF(EDATE($E41,MAX(0,ROUNDUP(((YEAR(AE$3)-YEAR($E41))*12+MONTH(AE$3)-MONTH($E41))/$G41,0)*$G41))&lt;AE$3,EDATE($E41,MAX(0,ROUNDUP(((YEAR(AE$3)-YEAR($E41))*12+MONTH(AE$3)-MONTH($E41))/$G41,0)*$G41)+$G41),EDATE($E41,MAX(0,ROUNDUP(((YEAR(AE$3)-YEAR($E41))*12+MONTH(AE$3)-MONTH($E41))/$G41,0)*$G41)))&gt;=AE$3,IF(EDATE($E41,MAX(0,ROUNDUP(((YEAR(AE$3)-YEAR($E41))*12+MONTH(AE$3)-MONTH($E41))/$G41,0)*$G41))&lt;AE$3,EDATE($E41,MAX(0,ROUNDUP(((YEAR(AE$3)-YEAR($E41))*12+MONTH(AE$3)-MONTH($E41))/$G41,0)*$G41)+$G41),EDATE($E41,MAX(0,ROUNDUP(((YEAR(AE$3)-YEAR($E41))*12+MONTH(AE$3)-MONTH($E41))/$G41,0)*$G41)))&lt;=IF($F41="",AE$4,MIN(AE$4,$F41))),1,0)))))</f>
        <v>0</v>
      </c>
      <c r="AF41" s="25" t="n">
        <f aca="false">IF(OR($C41="",$C41=0,$E41="",$B41="",$G41=-2),0,$C41*IF($G41=0,IF(IF($F41="",AF$4,MIN(AF$4,$F41))&lt;$E41,0,MAX(0,INT((IF($F41="",AF$4,MIN(AF$4,$F41))-$E41)/7)+1-MAX(0,ROUNDUP((AF$3-$E41)/7,0)))),IF($G41=101,(AND(EOMONTH(AF$3,0)&gt;=MAX(AF$3,$E41),EOMONTH(AF$3,0)&lt;=IF($F41="",AF$4,MIN(AF$4,$F41)))*1+AND(EOMONTH(AF$4,0)&lt;&gt;EOMONTH(AF$3,0),EOMONTH(AF$4,0)&gt;=MAX(AF$3,$E41),EOMONTH(AF$4,0)&lt;=IF($F41="",AF$4,MIN(AF$4,$F41)))*1),IF($G41=102,(AND(WORKDAY(EOMONTH(AF$3,0)+1,-3)&gt;=MAX(AF$3,$E41),WORKDAY(EOMONTH(AF$3,0)+1,-3)&lt;=IF($F41="",AF$4,MIN(AF$4,$F41)))*1+AND(WORKDAY(EOMONTH(AF$4,0)+1,-3)&lt;&gt;WORKDAY(EOMONTH(AF$3,0)+1,-3),WORKDAY(EOMONTH(AF$4,0)+1,-3)&gt;=MAX(AF$3,$E41),WORKDAY(EOMONTH(AF$4,0)+1,-3)&lt;=IF($F41="",AF$4,MIN(AF$4,$F41)))*1),IF(AND(IF(EDATE($E41,MAX(0,ROUNDUP(((YEAR(AF$3)-YEAR($E41))*12+MONTH(AF$3)-MONTH($E41))/$G41,0)*$G41))&lt;AF$3,EDATE($E41,MAX(0,ROUNDUP(((YEAR(AF$3)-YEAR($E41))*12+MONTH(AF$3)-MONTH($E41))/$G41,0)*$G41)+$G41),EDATE($E41,MAX(0,ROUNDUP(((YEAR(AF$3)-YEAR($E41))*12+MONTH(AF$3)-MONTH($E41))/$G41,0)*$G41)))&gt;=AF$3,IF(EDATE($E41,MAX(0,ROUNDUP(((YEAR(AF$3)-YEAR($E41))*12+MONTH(AF$3)-MONTH($E41))/$G41,0)*$G41))&lt;AF$3,EDATE($E41,MAX(0,ROUNDUP(((YEAR(AF$3)-YEAR($E41))*12+MONTH(AF$3)-MONTH($E41))/$G41,0)*$G41)+$G41),EDATE($E41,MAX(0,ROUNDUP(((YEAR(AF$3)-YEAR($E41))*12+MONTH(AF$3)-MONTH($E41))/$G41,0)*$G41)))&lt;=IF($F41="",AF$4,MIN(AF$4,$F41))),1,0)))))</f>
        <v>0</v>
      </c>
    </row>
    <row r="42" customFormat="false" ht="15" hidden="false" customHeight="false" outlineLevel="0" collapsed="false">
      <c r="A42" s="5"/>
      <c r="B42" s="5"/>
      <c r="C42" s="8"/>
      <c r="D42" s="5"/>
      <c r="E42" s="7"/>
      <c r="F42" s="7"/>
      <c r="G42" s="24" t="n">
        <f aca="false">IFERROR(INDEX(Listen!$E$2:$E$8,MATCH(D42,Listen!$D$2:$D$8,0)),-2)</f>
        <v>-2</v>
      </c>
      <c r="H42" s="25" t="n">
        <f aca="false">IF(OR($C42="",$C42=0,$E42="",$B42="",$G42=-2),0,$C42*IF($G42=0,IF(IF($F42="",H$4,MIN(H$4,$F42))&lt;$E42,0,MAX(0,INT((IF($F42="",H$4,MIN(H$4,$F42))-$E42)/7)+1-MAX(0,ROUNDUP((H$3-$E42)/7,0)))),IF($G42=101,(AND(EOMONTH(H$3,0)&gt;=MAX(H$3,$E42),EOMONTH(H$3,0)&lt;=IF($F42="",H$4,MIN(H$4,$F42)))*1+AND(EOMONTH(H$4,0)&lt;&gt;EOMONTH(H$3,0),EOMONTH(H$4,0)&gt;=MAX(H$3,$E42),EOMONTH(H$4,0)&lt;=IF($F42="",H$4,MIN(H$4,$F42)))*1),IF($G42=102,(AND(WORKDAY(EOMONTH(H$3,0)+1,-3)&gt;=MAX(H$3,$E42),WORKDAY(EOMONTH(H$3,0)+1,-3)&lt;=IF($F42="",H$4,MIN(H$4,$F42)))*1+AND(WORKDAY(EOMONTH(H$4,0)+1,-3)&lt;&gt;WORKDAY(EOMONTH(H$3,0)+1,-3),WORKDAY(EOMONTH(H$4,0)+1,-3)&gt;=MAX(H$3,$E42),WORKDAY(EOMONTH(H$4,0)+1,-3)&lt;=IF($F42="",H$4,MIN(H$4,$F42)))*1),IF(AND(IF(EDATE($E42,MAX(0,ROUNDUP(((YEAR(H$3)-YEAR($E42))*12+MONTH(H$3)-MONTH($E42))/$G42,0)*$G42))&lt;H$3,EDATE($E42,MAX(0,ROUNDUP(((YEAR(H$3)-YEAR($E42))*12+MONTH(H$3)-MONTH($E42))/$G42,0)*$G42)+$G42),EDATE($E42,MAX(0,ROUNDUP(((YEAR(H$3)-YEAR($E42))*12+MONTH(H$3)-MONTH($E42))/$G42,0)*$G42)))&gt;=H$3,IF(EDATE($E42,MAX(0,ROUNDUP(((YEAR(H$3)-YEAR($E42))*12+MONTH(H$3)-MONTH($E42))/$G42,0)*$G42))&lt;H$3,EDATE($E42,MAX(0,ROUNDUP(((YEAR(H$3)-YEAR($E42))*12+MONTH(H$3)-MONTH($E42))/$G42,0)*$G42)+$G42),EDATE($E42,MAX(0,ROUNDUP(((YEAR(H$3)-YEAR($E42))*12+MONTH(H$3)-MONTH($E42))/$G42,0)*$G42)))&lt;=IF($F42="",H$4,MIN(H$4,$F42))),1,0)))))</f>
        <v>0</v>
      </c>
      <c r="I42" s="25" t="n">
        <f aca="false">IF(OR($C42="",$C42=0,$E42="",$B42="",$G42=-2),0,$C42*IF($G42=0,IF(IF($F42="",I$4,MIN(I$4,$F42))&lt;$E42,0,MAX(0,INT((IF($F42="",I$4,MIN(I$4,$F42))-$E42)/7)+1-MAX(0,ROUNDUP((I$3-$E42)/7,0)))),IF($G42=101,(AND(EOMONTH(I$3,0)&gt;=MAX(I$3,$E42),EOMONTH(I$3,0)&lt;=IF($F42="",I$4,MIN(I$4,$F42)))*1+AND(EOMONTH(I$4,0)&lt;&gt;EOMONTH(I$3,0),EOMONTH(I$4,0)&gt;=MAX(I$3,$E42),EOMONTH(I$4,0)&lt;=IF($F42="",I$4,MIN(I$4,$F42)))*1),IF($G42=102,(AND(WORKDAY(EOMONTH(I$3,0)+1,-3)&gt;=MAX(I$3,$E42),WORKDAY(EOMONTH(I$3,0)+1,-3)&lt;=IF($F42="",I$4,MIN(I$4,$F42)))*1+AND(WORKDAY(EOMONTH(I$4,0)+1,-3)&lt;&gt;WORKDAY(EOMONTH(I$3,0)+1,-3),WORKDAY(EOMONTH(I$4,0)+1,-3)&gt;=MAX(I$3,$E42),WORKDAY(EOMONTH(I$4,0)+1,-3)&lt;=IF($F42="",I$4,MIN(I$4,$F42)))*1),IF(AND(IF(EDATE($E42,MAX(0,ROUNDUP(((YEAR(I$3)-YEAR($E42))*12+MONTH(I$3)-MONTH($E42))/$G42,0)*$G42))&lt;I$3,EDATE($E42,MAX(0,ROUNDUP(((YEAR(I$3)-YEAR($E42))*12+MONTH(I$3)-MONTH($E42))/$G42,0)*$G42)+$G42),EDATE($E42,MAX(0,ROUNDUP(((YEAR(I$3)-YEAR($E42))*12+MONTH(I$3)-MONTH($E42))/$G42,0)*$G42)))&gt;=I$3,IF(EDATE($E42,MAX(0,ROUNDUP(((YEAR(I$3)-YEAR($E42))*12+MONTH(I$3)-MONTH($E42))/$G42,0)*$G42))&lt;I$3,EDATE($E42,MAX(0,ROUNDUP(((YEAR(I$3)-YEAR($E42))*12+MONTH(I$3)-MONTH($E42))/$G42,0)*$G42)+$G42),EDATE($E42,MAX(0,ROUNDUP(((YEAR(I$3)-YEAR($E42))*12+MONTH(I$3)-MONTH($E42))/$G42,0)*$G42)))&lt;=IF($F42="",I$4,MIN(I$4,$F42))),1,0)))))</f>
        <v>0</v>
      </c>
      <c r="J42" s="25" t="n">
        <f aca="false">IF(OR($C42="",$C42=0,$E42="",$B42="",$G42=-2),0,$C42*IF($G42=0,IF(IF($F42="",J$4,MIN(J$4,$F42))&lt;$E42,0,MAX(0,INT((IF($F42="",J$4,MIN(J$4,$F42))-$E42)/7)+1-MAX(0,ROUNDUP((J$3-$E42)/7,0)))),IF($G42=101,(AND(EOMONTH(J$3,0)&gt;=MAX(J$3,$E42),EOMONTH(J$3,0)&lt;=IF($F42="",J$4,MIN(J$4,$F42)))*1+AND(EOMONTH(J$4,0)&lt;&gt;EOMONTH(J$3,0),EOMONTH(J$4,0)&gt;=MAX(J$3,$E42),EOMONTH(J$4,0)&lt;=IF($F42="",J$4,MIN(J$4,$F42)))*1),IF($G42=102,(AND(WORKDAY(EOMONTH(J$3,0)+1,-3)&gt;=MAX(J$3,$E42),WORKDAY(EOMONTH(J$3,0)+1,-3)&lt;=IF($F42="",J$4,MIN(J$4,$F42)))*1+AND(WORKDAY(EOMONTH(J$4,0)+1,-3)&lt;&gt;WORKDAY(EOMONTH(J$3,0)+1,-3),WORKDAY(EOMONTH(J$4,0)+1,-3)&gt;=MAX(J$3,$E42),WORKDAY(EOMONTH(J$4,0)+1,-3)&lt;=IF($F42="",J$4,MIN(J$4,$F42)))*1),IF(AND(IF(EDATE($E42,MAX(0,ROUNDUP(((YEAR(J$3)-YEAR($E42))*12+MONTH(J$3)-MONTH($E42))/$G42,0)*$G42))&lt;J$3,EDATE($E42,MAX(0,ROUNDUP(((YEAR(J$3)-YEAR($E42))*12+MONTH(J$3)-MONTH($E42))/$G42,0)*$G42)+$G42),EDATE($E42,MAX(0,ROUNDUP(((YEAR(J$3)-YEAR($E42))*12+MONTH(J$3)-MONTH($E42))/$G42,0)*$G42)))&gt;=J$3,IF(EDATE($E42,MAX(0,ROUNDUP(((YEAR(J$3)-YEAR($E42))*12+MONTH(J$3)-MONTH($E42))/$G42,0)*$G42))&lt;J$3,EDATE($E42,MAX(0,ROUNDUP(((YEAR(J$3)-YEAR($E42))*12+MONTH(J$3)-MONTH($E42))/$G42,0)*$G42)+$G42),EDATE($E42,MAX(0,ROUNDUP(((YEAR(J$3)-YEAR($E42))*12+MONTH(J$3)-MONTH($E42))/$G42,0)*$G42)))&lt;=IF($F42="",J$4,MIN(J$4,$F42))),1,0)))))</f>
        <v>0</v>
      </c>
      <c r="K42" s="25" t="n">
        <f aca="false">IF(OR($C42="",$C42=0,$E42="",$B42="",$G42=-2),0,$C42*IF($G42=0,IF(IF($F42="",K$4,MIN(K$4,$F42))&lt;$E42,0,MAX(0,INT((IF($F42="",K$4,MIN(K$4,$F42))-$E42)/7)+1-MAX(0,ROUNDUP((K$3-$E42)/7,0)))),IF($G42=101,(AND(EOMONTH(K$3,0)&gt;=MAX(K$3,$E42),EOMONTH(K$3,0)&lt;=IF($F42="",K$4,MIN(K$4,$F42)))*1+AND(EOMONTH(K$4,0)&lt;&gt;EOMONTH(K$3,0),EOMONTH(K$4,0)&gt;=MAX(K$3,$E42),EOMONTH(K$4,0)&lt;=IF($F42="",K$4,MIN(K$4,$F42)))*1),IF($G42=102,(AND(WORKDAY(EOMONTH(K$3,0)+1,-3)&gt;=MAX(K$3,$E42),WORKDAY(EOMONTH(K$3,0)+1,-3)&lt;=IF($F42="",K$4,MIN(K$4,$F42)))*1+AND(WORKDAY(EOMONTH(K$4,0)+1,-3)&lt;&gt;WORKDAY(EOMONTH(K$3,0)+1,-3),WORKDAY(EOMONTH(K$4,0)+1,-3)&gt;=MAX(K$3,$E42),WORKDAY(EOMONTH(K$4,0)+1,-3)&lt;=IF($F42="",K$4,MIN(K$4,$F42)))*1),IF(AND(IF(EDATE($E42,MAX(0,ROUNDUP(((YEAR(K$3)-YEAR($E42))*12+MONTH(K$3)-MONTH($E42))/$G42,0)*$G42))&lt;K$3,EDATE($E42,MAX(0,ROUNDUP(((YEAR(K$3)-YEAR($E42))*12+MONTH(K$3)-MONTH($E42))/$G42,0)*$G42)+$G42),EDATE($E42,MAX(0,ROUNDUP(((YEAR(K$3)-YEAR($E42))*12+MONTH(K$3)-MONTH($E42))/$G42,0)*$G42)))&gt;=K$3,IF(EDATE($E42,MAX(0,ROUNDUP(((YEAR(K$3)-YEAR($E42))*12+MONTH(K$3)-MONTH($E42))/$G42,0)*$G42))&lt;K$3,EDATE($E42,MAX(0,ROUNDUP(((YEAR(K$3)-YEAR($E42))*12+MONTH(K$3)-MONTH($E42))/$G42,0)*$G42)+$G42),EDATE($E42,MAX(0,ROUNDUP(((YEAR(K$3)-YEAR($E42))*12+MONTH(K$3)-MONTH($E42))/$G42,0)*$G42)))&lt;=IF($F42="",K$4,MIN(K$4,$F42))),1,0)))))</f>
        <v>0</v>
      </c>
      <c r="L42" s="25" t="n">
        <f aca="false">IF(OR($C42="",$C42=0,$E42="",$B42="",$G42=-2),0,$C42*IF($G42=0,IF(IF($F42="",L$4,MIN(L$4,$F42))&lt;$E42,0,MAX(0,INT((IF($F42="",L$4,MIN(L$4,$F42))-$E42)/7)+1-MAX(0,ROUNDUP((L$3-$E42)/7,0)))),IF($G42=101,(AND(EOMONTH(L$3,0)&gt;=MAX(L$3,$E42),EOMONTH(L$3,0)&lt;=IF($F42="",L$4,MIN(L$4,$F42)))*1+AND(EOMONTH(L$4,0)&lt;&gt;EOMONTH(L$3,0),EOMONTH(L$4,0)&gt;=MAX(L$3,$E42),EOMONTH(L$4,0)&lt;=IF($F42="",L$4,MIN(L$4,$F42)))*1),IF($G42=102,(AND(WORKDAY(EOMONTH(L$3,0)+1,-3)&gt;=MAX(L$3,$E42),WORKDAY(EOMONTH(L$3,0)+1,-3)&lt;=IF($F42="",L$4,MIN(L$4,$F42)))*1+AND(WORKDAY(EOMONTH(L$4,0)+1,-3)&lt;&gt;WORKDAY(EOMONTH(L$3,0)+1,-3),WORKDAY(EOMONTH(L$4,0)+1,-3)&gt;=MAX(L$3,$E42),WORKDAY(EOMONTH(L$4,0)+1,-3)&lt;=IF($F42="",L$4,MIN(L$4,$F42)))*1),IF(AND(IF(EDATE($E42,MAX(0,ROUNDUP(((YEAR(L$3)-YEAR($E42))*12+MONTH(L$3)-MONTH($E42))/$G42,0)*$G42))&lt;L$3,EDATE($E42,MAX(0,ROUNDUP(((YEAR(L$3)-YEAR($E42))*12+MONTH(L$3)-MONTH($E42))/$G42,0)*$G42)+$G42),EDATE($E42,MAX(0,ROUNDUP(((YEAR(L$3)-YEAR($E42))*12+MONTH(L$3)-MONTH($E42))/$G42,0)*$G42)))&gt;=L$3,IF(EDATE($E42,MAX(0,ROUNDUP(((YEAR(L$3)-YEAR($E42))*12+MONTH(L$3)-MONTH($E42))/$G42,0)*$G42))&lt;L$3,EDATE($E42,MAX(0,ROUNDUP(((YEAR(L$3)-YEAR($E42))*12+MONTH(L$3)-MONTH($E42))/$G42,0)*$G42)+$G42),EDATE($E42,MAX(0,ROUNDUP(((YEAR(L$3)-YEAR($E42))*12+MONTH(L$3)-MONTH($E42))/$G42,0)*$G42)))&lt;=IF($F42="",L$4,MIN(L$4,$F42))),1,0)))))</f>
        <v>0</v>
      </c>
      <c r="M42" s="25" t="n">
        <f aca="false">IF(OR($C42="",$C42=0,$E42="",$B42="",$G42=-2),0,$C42*IF($G42=0,IF(IF($F42="",M$4,MIN(M$4,$F42))&lt;$E42,0,MAX(0,INT((IF($F42="",M$4,MIN(M$4,$F42))-$E42)/7)+1-MAX(0,ROUNDUP((M$3-$E42)/7,0)))),IF($G42=101,(AND(EOMONTH(M$3,0)&gt;=MAX(M$3,$E42),EOMONTH(M$3,0)&lt;=IF($F42="",M$4,MIN(M$4,$F42)))*1+AND(EOMONTH(M$4,0)&lt;&gt;EOMONTH(M$3,0),EOMONTH(M$4,0)&gt;=MAX(M$3,$E42),EOMONTH(M$4,0)&lt;=IF($F42="",M$4,MIN(M$4,$F42)))*1),IF($G42=102,(AND(WORKDAY(EOMONTH(M$3,0)+1,-3)&gt;=MAX(M$3,$E42),WORKDAY(EOMONTH(M$3,0)+1,-3)&lt;=IF($F42="",M$4,MIN(M$4,$F42)))*1+AND(WORKDAY(EOMONTH(M$4,0)+1,-3)&lt;&gt;WORKDAY(EOMONTH(M$3,0)+1,-3),WORKDAY(EOMONTH(M$4,0)+1,-3)&gt;=MAX(M$3,$E42),WORKDAY(EOMONTH(M$4,0)+1,-3)&lt;=IF($F42="",M$4,MIN(M$4,$F42)))*1),IF(AND(IF(EDATE($E42,MAX(0,ROUNDUP(((YEAR(M$3)-YEAR($E42))*12+MONTH(M$3)-MONTH($E42))/$G42,0)*$G42))&lt;M$3,EDATE($E42,MAX(0,ROUNDUP(((YEAR(M$3)-YEAR($E42))*12+MONTH(M$3)-MONTH($E42))/$G42,0)*$G42)+$G42),EDATE($E42,MAX(0,ROUNDUP(((YEAR(M$3)-YEAR($E42))*12+MONTH(M$3)-MONTH($E42))/$G42,0)*$G42)))&gt;=M$3,IF(EDATE($E42,MAX(0,ROUNDUP(((YEAR(M$3)-YEAR($E42))*12+MONTH(M$3)-MONTH($E42))/$G42,0)*$G42))&lt;M$3,EDATE($E42,MAX(0,ROUNDUP(((YEAR(M$3)-YEAR($E42))*12+MONTH(M$3)-MONTH($E42))/$G42,0)*$G42)+$G42),EDATE($E42,MAX(0,ROUNDUP(((YEAR(M$3)-YEAR($E42))*12+MONTH(M$3)-MONTH($E42))/$G42,0)*$G42)))&lt;=IF($F42="",M$4,MIN(M$4,$F42))),1,0)))))</f>
        <v>0</v>
      </c>
      <c r="N42" s="25" t="n">
        <f aca="false">IF(OR($C42="",$C42=0,$E42="",$B42="",$G42=-2),0,$C42*IF($G42=0,IF(IF($F42="",N$4,MIN(N$4,$F42))&lt;$E42,0,MAX(0,INT((IF($F42="",N$4,MIN(N$4,$F42))-$E42)/7)+1-MAX(0,ROUNDUP((N$3-$E42)/7,0)))),IF($G42=101,(AND(EOMONTH(N$3,0)&gt;=MAX(N$3,$E42),EOMONTH(N$3,0)&lt;=IF($F42="",N$4,MIN(N$4,$F42)))*1+AND(EOMONTH(N$4,0)&lt;&gt;EOMONTH(N$3,0),EOMONTH(N$4,0)&gt;=MAX(N$3,$E42),EOMONTH(N$4,0)&lt;=IF($F42="",N$4,MIN(N$4,$F42)))*1),IF($G42=102,(AND(WORKDAY(EOMONTH(N$3,0)+1,-3)&gt;=MAX(N$3,$E42),WORKDAY(EOMONTH(N$3,0)+1,-3)&lt;=IF($F42="",N$4,MIN(N$4,$F42)))*1+AND(WORKDAY(EOMONTH(N$4,0)+1,-3)&lt;&gt;WORKDAY(EOMONTH(N$3,0)+1,-3),WORKDAY(EOMONTH(N$4,0)+1,-3)&gt;=MAX(N$3,$E42),WORKDAY(EOMONTH(N$4,0)+1,-3)&lt;=IF($F42="",N$4,MIN(N$4,$F42)))*1),IF(AND(IF(EDATE($E42,MAX(0,ROUNDUP(((YEAR(N$3)-YEAR($E42))*12+MONTH(N$3)-MONTH($E42))/$G42,0)*$G42))&lt;N$3,EDATE($E42,MAX(0,ROUNDUP(((YEAR(N$3)-YEAR($E42))*12+MONTH(N$3)-MONTH($E42))/$G42,0)*$G42)+$G42),EDATE($E42,MAX(0,ROUNDUP(((YEAR(N$3)-YEAR($E42))*12+MONTH(N$3)-MONTH($E42))/$G42,0)*$G42)))&gt;=N$3,IF(EDATE($E42,MAX(0,ROUNDUP(((YEAR(N$3)-YEAR($E42))*12+MONTH(N$3)-MONTH($E42))/$G42,0)*$G42))&lt;N$3,EDATE($E42,MAX(0,ROUNDUP(((YEAR(N$3)-YEAR($E42))*12+MONTH(N$3)-MONTH($E42))/$G42,0)*$G42)+$G42),EDATE($E42,MAX(0,ROUNDUP(((YEAR(N$3)-YEAR($E42))*12+MONTH(N$3)-MONTH($E42))/$G42,0)*$G42)))&lt;=IF($F42="",N$4,MIN(N$4,$F42))),1,0)))))</f>
        <v>0</v>
      </c>
      <c r="O42" s="25" t="n">
        <f aca="false">IF(OR($C42="",$C42=0,$E42="",$B42="",$G42=-2),0,$C42*IF($G42=0,IF(IF($F42="",O$4,MIN(O$4,$F42))&lt;$E42,0,MAX(0,INT((IF($F42="",O$4,MIN(O$4,$F42))-$E42)/7)+1-MAX(0,ROUNDUP((O$3-$E42)/7,0)))),IF($G42=101,(AND(EOMONTH(O$3,0)&gt;=MAX(O$3,$E42),EOMONTH(O$3,0)&lt;=IF($F42="",O$4,MIN(O$4,$F42)))*1+AND(EOMONTH(O$4,0)&lt;&gt;EOMONTH(O$3,0),EOMONTH(O$4,0)&gt;=MAX(O$3,$E42),EOMONTH(O$4,0)&lt;=IF($F42="",O$4,MIN(O$4,$F42)))*1),IF($G42=102,(AND(WORKDAY(EOMONTH(O$3,0)+1,-3)&gt;=MAX(O$3,$E42),WORKDAY(EOMONTH(O$3,0)+1,-3)&lt;=IF($F42="",O$4,MIN(O$4,$F42)))*1+AND(WORKDAY(EOMONTH(O$4,0)+1,-3)&lt;&gt;WORKDAY(EOMONTH(O$3,0)+1,-3),WORKDAY(EOMONTH(O$4,0)+1,-3)&gt;=MAX(O$3,$E42),WORKDAY(EOMONTH(O$4,0)+1,-3)&lt;=IF($F42="",O$4,MIN(O$4,$F42)))*1),IF(AND(IF(EDATE($E42,MAX(0,ROUNDUP(((YEAR(O$3)-YEAR($E42))*12+MONTH(O$3)-MONTH($E42))/$G42,0)*$G42))&lt;O$3,EDATE($E42,MAX(0,ROUNDUP(((YEAR(O$3)-YEAR($E42))*12+MONTH(O$3)-MONTH($E42))/$G42,0)*$G42)+$G42),EDATE($E42,MAX(0,ROUNDUP(((YEAR(O$3)-YEAR($E42))*12+MONTH(O$3)-MONTH($E42))/$G42,0)*$G42)))&gt;=O$3,IF(EDATE($E42,MAX(0,ROUNDUP(((YEAR(O$3)-YEAR($E42))*12+MONTH(O$3)-MONTH($E42))/$G42,0)*$G42))&lt;O$3,EDATE($E42,MAX(0,ROUNDUP(((YEAR(O$3)-YEAR($E42))*12+MONTH(O$3)-MONTH($E42))/$G42,0)*$G42)+$G42),EDATE($E42,MAX(0,ROUNDUP(((YEAR(O$3)-YEAR($E42))*12+MONTH(O$3)-MONTH($E42))/$G42,0)*$G42)))&lt;=IF($F42="",O$4,MIN(O$4,$F42))),1,0)))))</f>
        <v>0</v>
      </c>
      <c r="P42" s="25" t="n">
        <f aca="false">IF(OR($C42="",$C42=0,$E42="",$B42="",$G42=-2),0,$C42*IF($G42=0,IF(IF($F42="",P$4,MIN(P$4,$F42))&lt;$E42,0,MAX(0,INT((IF($F42="",P$4,MIN(P$4,$F42))-$E42)/7)+1-MAX(0,ROUNDUP((P$3-$E42)/7,0)))),IF($G42=101,(AND(EOMONTH(P$3,0)&gt;=MAX(P$3,$E42),EOMONTH(P$3,0)&lt;=IF($F42="",P$4,MIN(P$4,$F42)))*1+AND(EOMONTH(P$4,0)&lt;&gt;EOMONTH(P$3,0),EOMONTH(P$4,0)&gt;=MAX(P$3,$E42),EOMONTH(P$4,0)&lt;=IF($F42="",P$4,MIN(P$4,$F42)))*1),IF($G42=102,(AND(WORKDAY(EOMONTH(P$3,0)+1,-3)&gt;=MAX(P$3,$E42),WORKDAY(EOMONTH(P$3,0)+1,-3)&lt;=IF($F42="",P$4,MIN(P$4,$F42)))*1+AND(WORKDAY(EOMONTH(P$4,0)+1,-3)&lt;&gt;WORKDAY(EOMONTH(P$3,0)+1,-3),WORKDAY(EOMONTH(P$4,0)+1,-3)&gt;=MAX(P$3,$E42),WORKDAY(EOMONTH(P$4,0)+1,-3)&lt;=IF($F42="",P$4,MIN(P$4,$F42)))*1),IF(AND(IF(EDATE($E42,MAX(0,ROUNDUP(((YEAR(P$3)-YEAR($E42))*12+MONTH(P$3)-MONTH($E42))/$G42,0)*$G42))&lt;P$3,EDATE($E42,MAX(0,ROUNDUP(((YEAR(P$3)-YEAR($E42))*12+MONTH(P$3)-MONTH($E42))/$G42,0)*$G42)+$G42),EDATE($E42,MAX(0,ROUNDUP(((YEAR(P$3)-YEAR($E42))*12+MONTH(P$3)-MONTH($E42))/$G42,0)*$G42)))&gt;=P$3,IF(EDATE($E42,MAX(0,ROUNDUP(((YEAR(P$3)-YEAR($E42))*12+MONTH(P$3)-MONTH($E42))/$G42,0)*$G42))&lt;P$3,EDATE($E42,MAX(0,ROUNDUP(((YEAR(P$3)-YEAR($E42))*12+MONTH(P$3)-MONTH($E42))/$G42,0)*$G42)+$G42),EDATE($E42,MAX(0,ROUNDUP(((YEAR(P$3)-YEAR($E42))*12+MONTH(P$3)-MONTH($E42))/$G42,0)*$G42)))&lt;=IF($F42="",P$4,MIN(P$4,$F42))),1,0)))))</f>
        <v>0</v>
      </c>
      <c r="Q42" s="25" t="n">
        <f aca="false">IF(OR($C42="",$C42=0,$E42="",$B42="",$G42=-2),0,$C42*IF($G42=0,IF(IF($F42="",Q$4,MIN(Q$4,$F42))&lt;$E42,0,MAX(0,INT((IF($F42="",Q$4,MIN(Q$4,$F42))-$E42)/7)+1-MAX(0,ROUNDUP((Q$3-$E42)/7,0)))),IF($G42=101,(AND(EOMONTH(Q$3,0)&gt;=MAX(Q$3,$E42),EOMONTH(Q$3,0)&lt;=IF($F42="",Q$4,MIN(Q$4,$F42)))*1+AND(EOMONTH(Q$4,0)&lt;&gt;EOMONTH(Q$3,0),EOMONTH(Q$4,0)&gt;=MAX(Q$3,$E42),EOMONTH(Q$4,0)&lt;=IF($F42="",Q$4,MIN(Q$4,$F42)))*1),IF($G42=102,(AND(WORKDAY(EOMONTH(Q$3,0)+1,-3)&gt;=MAX(Q$3,$E42),WORKDAY(EOMONTH(Q$3,0)+1,-3)&lt;=IF($F42="",Q$4,MIN(Q$4,$F42)))*1+AND(WORKDAY(EOMONTH(Q$4,0)+1,-3)&lt;&gt;WORKDAY(EOMONTH(Q$3,0)+1,-3),WORKDAY(EOMONTH(Q$4,0)+1,-3)&gt;=MAX(Q$3,$E42),WORKDAY(EOMONTH(Q$4,0)+1,-3)&lt;=IF($F42="",Q$4,MIN(Q$4,$F42)))*1),IF(AND(IF(EDATE($E42,MAX(0,ROUNDUP(((YEAR(Q$3)-YEAR($E42))*12+MONTH(Q$3)-MONTH($E42))/$G42,0)*$G42))&lt;Q$3,EDATE($E42,MAX(0,ROUNDUP(((YEAR(Q$3)-YEAR($E42))*12+MONTH(Q$3)-MONTH($E42))/$G42,0)*$G42)+$G42),EDATE($E42,MAX(0,ROUNDUP(((YEAR(Q$3)-YEAR($E42))*12+MONTH(Q$3)-MONTH($E42))/$G42,0)*$G42)))&gt;=Q$3,IF(EDATE($E42,MAX(0,ROUNDUP(((YEAR(Q$3)-YEAR($E42))*12+MONTH(Q$3)-MONTH($E42))/$G42,0)*$G42))&lt;Q$3,EDATE($E42,MAX(0,ROUNDUP(((YEAR(Q$3)-YEAR($E42))*12+MONTH(Q$3)-MONTH($E42))/$G42,0)*$G42)+$G42),EDATE($E42,MAX(0,ROUNDUP(((YEAR(Q$3)-YEAR($E42))*12+MONTH(Q$3)-MONTH($E42))/$G42,0)*$G42)))&lt;=IF($F42="",Q$4,MIN(Q$4,$F42))),1,0)))))</f>
        <v>0</v>
      </c>
      <c r="R42" s="25" t="n">
        <f aca="false">IF(OR($C42="",$C42=0,$E42="",$B42="",$G42=-2),0,$C42*IF($G42=0,IF(IF($F42="",R$4,MIN(R$4,$F42))&lt;$E42,0,MAX(0,INT((IF($F42="",R$4,MIN(R$4,$F42))-$E42)/7)+1-MAX(0,ROUNDUP((R$3-$E42)/7,0)))),IF($G42=101,(AND(EOMONTH(R$3,0)&gt;=MAX(R$3,$E42),EOMONTH(R$3,0)&lt;=IF($F42="",R$4,MIN(R$4,$F42)))*1+AND(EOMONTH(R$4,0)&lt;&gt;EOMONTH(R$3,0),EOMONTH(R$4,0)&gt;=MAX(R$3,$E42),EOMONTH(R$4,0)&lt;=IF($F42="",R$4,MIN(R$4,$F42)))*1),IF($G42=102,(AND(WORKDAY(EOMONTH(R$3,0)+1,-3)&gt;=MAX(R$3,$E42),WORKDAY(EOMONTH(R$3,0)+1,-3)&lt;=IF($F42="",R$4,MIN(R$4,$F42)))*1+AND(WORKDAY(EOMONTH(R$4,0)+1,-3)&lt;&gt;WORKDAY(EOMONTH(R$3,0)+1,-3),WORKDAY(EOMONTH(R$4,0)+1,-3)&gt;=MAX(R$3,$E42),WORKDAY(EOMONTH(R$4,0)+1,-3)&lt;=IF($F42="",R$4,MIN(R$4,$F42)))*1),IF(AND(IF(EDATE($E42,MAX(0,ROUNDUP(((YEAR(R$3)-YEAR($E42))*12+MONTH(R$3)-MONTH($E42))/$G42,0)*$G42))&lt;R$3,EDATE($E42,MAX(0,ROUNDUP(((YEAR(R$3)-YEAR($E42))*12+MONTH(R$3)-MONTH($E42))/$G42,0)*$G42)+$G42),EDATE($E42,MAX(0,ROUNDUP(((YEAR(R$3)-YEAR($E42))*12+MONTH(R$3)-MONTH($E42))/$G42,0)*$G42)))&gt;=R$3,IF(EDATE($E42,MAX(0,ROUNDUP(((YEAR(R$3)-YEAR($E42))*12+MONTH(R$3)-MONTH($E42))/$G42,0)*$G42))&lt;R$3,EDATE($E42,MAX(0,ROUNDUP(((YEAR(R$3)-YEAR($E42))*12+MONTH(R$3)-MONTH($E42))/$G42,0)*$G42)+$G42),EDATE($E42,MAX(0,ROUNDUP(((YEAR(R$3)-YEAR($E42))*12+MONTH(R$3)-MONTH($E42))/$G42,0)*$G42)))&lt;=IF($F42="",R$4,MIN(R$4,$F42))),1,0)))))</f>
        <v>0</v>
      </c>
      <c r="S42" s="25" t="n">
        <f aca="false">IF(OR($C42="",$C42=0,$E42="",$B42="",$G42=-2),0,$C42*IF($G42=0,IF(IF($F42="",S$4,MIN(S$4,$F42))&lt;$E42,0,MAX(0,INT((IF($F42="",S$4,MIN(S$4,$F42))-$E42)/7)+1-MAX(0,ROUNDUP((S$3-$E42)/7,0)))),IF($G42=101,(AND(EOMONTH(S$3,0)&gt;=MAX(S$3,$E42),EOMONTH(S$3,0)&lt;=IF($F42="",S$4,MIN(S$4,$F42)))*1+AND(EOMONTH(S$4,0)&lt;&gt;EOMONTH(S$3,0),EOMONTH(S$4,0)&gt;=MAX(S$3,$E42),EOMONTH(S$4,0)&lt;=IF($F42="",S$4,MIN(S$4,$F42)))*1),IF($G42=102,(AND(WORKDAY(EOMONTH(S$3,0)+1,-3)&gt;=MAX(S$3,$E42),WORKDAY(EOMONTH(S$3,0)+1,-3)&lt;=IF($F42="",S$4,MIN(S$4,$F42)))*1+AND(WORKDAY(EOMONTH(S$4,0)+1,-3)&lt;&gt;WORKDAY(EOMONTH(S$3,0)+1,-3),WORKDAY(EOMONTH(S$4,0)+1,-3)&gt;=MAX(S$3,$E42),WORKDAY(EOMONTH(S$4,0)+1,-3)&lt;=IF($F42="",S$4,MIN(S$4,$F42)))*1),IF(AND(IF(EDATE($E42,MAX(0,ROUNDUP(((YEAR(S$3)-YEAR($E42))*12+MONTH(S$3)-MONTH($E42))/$G42,0)*$G42))&lt;S$3,EDATE($E42,MAX(0,ROUNDUP(((YEAR(S$3)-YEAR($E42))*12+MONTH(S$3)-MONTH($E42))/$G42,0)*$G42)+$G42),EDATE($E42,MAX(0,ROUNDUP(((YEAR(S$3)-YEAR($E42))*12+MONTH(S$3)-MONTH($E42))/$G42,0)*$G42)))&gt;=S$3,IF(EDATE($E42,MAX(0,ROUNDUP(((YEAR(S$3)-YEAR($E42))*12+MONTH(S$3)-MONTH($E42))/$G42,0)*$G42))&lt;S$3,EDATE($E42,MAX(0,ROUNDUP(((YEAR(S$3)-YEAR($E42))*12+MONTH(S$3)-MONTH($E42))/$G42,0)*$G42)+$G42),EDATE($E42,MAX(0,ROUNDUP(((YEAR(S$3)-YEAR($E42))*12+MONTH(S$3)-MONTH($E42))/$G42,0)*$G42)))&lt;=IF($F42="",S$4,MIN(S$4,$F42))),1,0)))))</f>
        <v>0</v>
      </c>
      <c r="T42" s="25" t="n">
        <f aca="false">IF(OR($C42="",$C42=0,$E42="",$B42="",$G42=-2),0,$C42*IF($G42=0,IF(IF($F42="",T$4,MIN(T$4,$F42))&lt;$E42,0,MAX(0,INT((IF($F42="",T$4,MIN(T$4,$F42))-$E42)/7)+1-MAX(0,ROUNDUP((T$3-$E42)/7,0)))),IF($G42=101,(AND(EOMONTH(T$3,0)&gt;=MAX(T$3,$E42),EOMONTH(T$3,0)&lt;=IF($F42="",T$4,MIN(T$4,$F42)))*1+AND(EOMONTH(T$4,0)&lt;&gt;EOMONTH(T$3,0),EOMONTH(T$4,0)&gt;=MAX(T$3,$E42),EOMONTH(T$4,0)&lt;=IF($F42="",T$4,MIN(T$4,$F42)))*1),IF($G42=102,(AND(WORKDAY(EOMONTH(T$3,0)+1,-3)&gt;=MAX(T$3,$E42),WORKDAY(EOMONTH(T$3,0)+1,-3)&lt;=IF($F42="",T$4,MIN(T$4,$F42)))*1+AND(WORKDAY(EOMONTH(T$4,0)+1,-3)&lt;&gt;WORKDAY(EOMONTH(T$3,0)+1,-3),WORKDAY(EOMONTH(T$4,0)+1,-3)&gt;=MAX(T$3,$E42),WORKDAY(EOMONTH(T$4,0)+1,-3)&lt;=IF($F42="",T$4,MIN(T$4,$F42)))*1),IF(AND(IF(EDATE($E42,MAX(0,ROUNDUP(((YEAR(T$3)-YEAR($E42))*12+MONTH(T$3)-MONTH($E42))/$G42,0)*$G42))&lt;T$3,EDATE($E42,MAX(0,ROUNDUP(((YEAR(T$3)-YEAR($E42))*12+MONTH(T$3)-MONTH($E42))/$G42,0)*$G42)+$G42),EDATE($E42,MAX(0,ROUNDUP(((YEAR(T$3)-YEAR($E42))*12+MONTH(T$3)-MONTH($E42))/$G42,0)*$G42)))&gt;=T$3,IF(EDATE($E42,MAX(0,ROUNDUP(((YEAR(T$3)-YEAR($E42))*12+MONTH(T$3)-MONTH($E42))/$G42,0)*$G42))&lt;T$3,EDATE($E42,MAX(0,ROUNDUP(((YEAR(T$3)-YEAR($E42))*12+MONTH(T$3)-MONTH($E42))/$G42,0)*$G42)+$G42),EDATE($E42,MAX(0,ROUNDUP(((YEAR(T$3)-YEAR($E42))*12+MONTH(T$3)-MONTH($E42))/$G42,0)*$G42)))&lt;=IF($F42="",T$4,MIN(T$4,$F42))),1,0)))))</f>
        <v>0</v>
      </c>
      <c r="U42" s="25" t="n">
        <f aca="false">IF(OR($C42="",$C42=0,$E42="",$B42="",$G42=-2),0,$C42*IF($G42=0,IF(IF($F42="",U$4,MIN(U$4,$F42))&lt;$E42,0,MAX(0,INT((IF($F42="",U$4,MIN(U$4,$F42))-$E42)/7)+1-MAX(0,ROUNDUP((U$3-$E42)/7,0)))),IF($G42=101,(AND(EOMONTH(U$3,0)&gt;=MAX(U$3,$E42),EOMONTH(U$3,0)&lt;=IF($F42="",U$4,MIN(U$4,$F42)))*1+AND(EOMONTH(U$4,0)&lt;&gt;EOMONTH(U$3,0),EOMONTH(U$4,0)&gt;=MAX(U$3,$E42),EOMONTH(U$4,0)&lt;=IF($F42="",U$4,MIN(U$4,$F42)))*1),IF($G42=102,(AND(WORKDAY(EOMONTH(U$3,0)+1,-3)&gt;=MAX(U$3,$E42),WORKDAY(EOMONTH(U$3,0)+1,-3)&lt;=IF($F42="",U$4,MIN(U$4,$F42)))*1+AND(WORKDAY(EOMONTH(U$4,0)+1,-3)&lt;&gt;WORKDAY(EOMONTH(U$3,0)+1,-3),WORKDAY(EOMONTH(U$4,0)+1,-3)&gt;=MAX(U$3,$E42),WORKDAY(EOMONTH(U$4,0)+1,-3)&lt;=IF($F42="",U$4,MIN(U$4,$F42)))*1),IF(AND(IF(EDATE($E42,MAX(0,ROUNDUP(((YEAR(U$3)-YEAR($E42))*12+MONTH(U$3)-MONTH($E42))/$G42,0)*$G42))&lt;U$3,EDATE($E42,MAX(0,ROUNDUP(((YEAR(U$3)-YEAR($E42))*12+MONTH(U$3)-MONTH($E42))/$G42,0)*$G42)+$G42),EDATE($E42,MAX(0,ROUNDUP(((YEAR(U$3)-YEAR($E42))*12+MONTH(U$3)-MONTH($E42))/$G42,0)*$G42)))&gt;=U$3,IF(EDATE($E42,MAX(0,ROUNDUP(((YEAR(U$3)-YEAR($E42))*12+MONTH(U$3)-MONTH($E42))/$G42,0)*$G42))&lt;U$3,EDATE($E42,MAX(0,ROUNDUP(((YEAR(U$3)-YEAR($E42))*12+MONTH(U$3)-MONTH($E42))/$G42,0)*$G42)+$G42),EDATE($E42,MAX(0,ROUNDUP(((YEAR(U$3)-YEAR($E42))*12+MONTH(U$3)-MONTH($E42))/$G42,0)*$G42)))&lt;=IF($F42="",U$4,MIN(U$4,$F42))),1,0)))))</f>
        <v>0</v>
      </c>
      <c r="V42" s="25" t="n">
        <f aca="false">IF(OR($C42="",$C42=0,$E42="",$B42="",$G42=-2),0,$C42*IF($G42=0,IF(IF($F42="",V$4,MIN(V$4,$F42))&lt;$E42,0,MAX(0,INT((IF($F42="",V$4,MIN(V$4,$F42))-$E42)/7)+1-MAX(0,ROUNDUP((V$3-$E42)/7,0)))),IF($G42=101,(AND(EOMONTH(V$3,0)&gt;=MAX(V$3,$E42),EOMONTH(V$3,0)&lt;=IF($F42="",V$4,MIN(V$4,$F42)))*1+AND(EOMONTH(V$4,0)&lt;&gt;EOMONTH(V$3,0),EOMONTH(V$4,0)&gt;=MAX(V$3,$E42),EOMONTH(V$4,0)&lt;=IF($F42="",V$4,MIN(V$4,$F42)))*1),IF($G42=102,(AND(WORKDAY(EOMONTH(V$3,0)+1,-3)&gt;=MAX(V$3,$E42),WORKDAY(EOMONTH(V$3,0)+1,-3)&lt;=IF($F42="",V$4,MIN(V$4,$F42)))*1+AND(WORKDAY(EOMONTH(V$4,0)+1,-3)&lt;&gt;WORKDAY(EOMONTH(V$3,0)+1,-3),WORKDAY(EOMONTH(V$4,0)+1,-3)&gt;=MAX(V$3,$E42),WORKDAY(EOMONTH(V$4,0)+1,-3)&lt;=IF($F42="",V$4,MIN(V$4,$F42)))*1),IF(AND(IF(EDATE($E42,MAX(0,ROUNDUP(((YEAR(V$3)-YEAR($E42))*12+MONTH(V$3)-MONTH($E42))/$G42,0)*$G42))&lt;V$3,EDATE($E42,MAX(0,ROUNDUP(((YEAR(V$3)-YEAR($E42))*12+MONTH(V$3)-MONTH($E42))/$G42,0)*$G42)+$G42),EDATE($E42,MAX(0,ROUNDUP(((YEAR(V$3)-YEAR($E42))*12+MONTH(V$3)-MONTH($E42))/$G42,0)*$G42)))&gt;=V$3,IF(EDATE($E42,MAX(0,ROUNDUP(((YEAR(V$3)-YEAR($E42))*12+MONTH(V$3)-MONTH($E42))/$G42,0)*$G42))&lt;V$3,EDATE($E42,MAX(0,ROUNDUP(((YEAR(V$3)-YEAR($E42))*12+MONTH(V$3)-MONTH($E42))/$G42,0)*$G42)+$G42),EDATE($E42,MAX(0,ROUNDUP(((YEAR(V$3)-YEAR($E42))*12+MONTH(V$3)-MONTH($E42))/$G42,0)*$G42)))&lt;=IF($F42="",V$4,MIN(V$4,$F42))),1,0)))))</f>
        <v>0</v>
      </c>
      <c r="W42" s="25" t="n">
        <f aca="false">IF(OR($C42="",$C42=0,$E42="",$B42="",$G42=-2),0,$C42*IF($G42=0,IF(IF($F42="",W$4,MIN(W$4,$F42))&lt;$E42,0,MAX(0,INT((IF($F42="",W$4,MIN(W$4,$F42))-$E42)/7)+1-MAX(0,ROUNDUP((W$3-$E42)/7,0)))),IF($G42=101,(AND(EOMONTH(W$3,0)&gt;=MAX(W$3,$E42),EOMONTH(W$3,0)&lt;=IF($F42="",W$4,MIN(W$4,$F42)))*1+AND(EOMONTH(W$4,0)&lt;&gt;EOMONTH(W$3,0),EOMONTH(W$4,0)&gt;=MAX(W$3,$E42),EOMONTH(W$4,0)&lt;=IF($F42="",W$4,MIN(W$4,$F42)))*1),IF($G42=102,(AND(WORKDAY(EOMONTH(W$3,0)+1,-3)&gt;=MAX(W$3,$E42),WORKDAY(EOMONTH(W$3,0)+1,-3)&lt;=IF($F42="",W$4,MIN(W$4,$F42)))*1+AND(WORKDAY(EOMONTH(W$4,0)+1,-3)&lt;&gt;WORKDAY(EOMONTH(W$3,0)+1,-3),WORKDAY(EOMONTH(W$4,0)+1,-3)&gt;=MAX(W$3,$E42),WORKDAY(EOMONTH(W$4,0)+1,-3)&lt;=IF($F42="",W$4,MIN(W$4,$F42)))*1),IF(AND(IF(EDATE($E42,MAX(0,ROUNDUP(((YEAR(W$3)-YEAR($E42))*12+MONTH(W$3)-MONTH($E42))/$G42,0)*$G42))&lt;W$3,EDATE($E42,MAX(0,ROUNDUP(((YEAR(W$3)-YEAR($E42))*12+MONTH(W$3)-MONTH($E42))/$G42,0)*$G42)+$G42),EDATE($E42,MAX(0,ROUNDUP(((YEAR(W$3)-YEAR($E42))*12+MONTH(W$3)-MONTH($E42))/$G42,0)*$G42)))&gt;=W$3,IF(EDATE($E42,MAX(0,ROUNDUP(((YEAR(W$3)-YEAR($E42))*12+MONTH(W$3)-MONTH($E42))/$G42,0)*$G42))&lt;W$3,EDATE($E42,MAX(0,ROUNDUP(((YEAR(W$3)-YEAR($E42))*12+MONTH(W$3)-MONTH($E42))/$G42,0)*$G42)+$G42),EDATE($E42,MAX(0,ROUNDUP(((YEAR(W$3)-YEAR($E42))*12+MONTH(W$3)-MONTH($E42))/$G42,0)*$G42)))&lt;=IF($F42="",W$4,MIN(W$4,$F42))),1,0)))))</f>
        <v>0</v>
      </c>
      <c r="X42" s="25" t="n">
        <f aca="false">IF(OR($C42="",$C42=0,$E42="",$B42="",$G42=-2),0,$C42*IF($G42=0,IF(IF($F42="",X$4,MIN(X$4,$F42))&lt;$E42,0,MAX(0,INT((IF($F42="",X$4,MIN(X$4,$F42))-$E42)/7)+1-MAX(0,ROUNDUP((X$3-$E42)/7,0)))),IF($G42=101,(AND(EOMONTH(X$3,0)&gt;=MAX(X$3,$E42),EOMONTH(X$3,0)&lt;=IF($F42="",X$4,MIN(X$4,$F42)))*1+AND(EOMONTH(X$4,0)&lt;&gt;EOMONTH(X$3,0),EOMONTH(X$4,0)&gt;=MAX(X$3,$E42),EOMONTH(X$4,0)&lt;=IF($F42="",X$4,MIN(X$4,$F42)))*1),IF($G42=102,(AND(WORKDAY(EOMONTH(X$3,0)+1,-3)&gt;=MAX(X$3,$E42),WORKDAY(EOMONTH(X$3,0)+1,-3)&lt;=IF($F42="",X$4,MIN(X$4,$F42)))*1+AND(WORKDAY(EOMONTH(X$4,0)+1,-3)&lt;&gt;WORKDAY(EOMONTH(X$3,0)+1,-3),WORKDAY(EOMONTH(X$4,0)+1,-3)&gt;=MAX(X$3,$E42),WORKDAY(EOMONTH(X$4,0)+1,-3)&lt;=IF($F42="",X$4,MIN(X$4,$F42)))*1),IF(AND(IF(EDATE($E42,MAX(0,ROUNDUP(((YEAR(X$3)-YEAR($E42))*12+MONTH(X$3)-MONTH($E42))/$G42,0)*$G42))&lt;X$3,EDATE($E42,MAX(0,ROUNDUP(((YEAR(X$3)-YEAR($E42))*12+MONTH(X$3)-MONTH($E42))/$G42,0)*$G42)+$G42),EDATE($E42,MAX(0,ROUNDUP(((YEAR(X$3)-YEAR($E42))*12+MONTH(X$3)-MONTH($E42))/$G42,0)*$G42)))&gt;=X$3,IF(EDATE($E42,MAX(0,ROUNDUP(((YEAR(X$3)-YEAR($E42))*12+MONTH(X$3)-MONTH($E42))/$G42,0)*$G42))&lt;X$3,EDATE($E42,MAX(0,ROUNDUP(((YEAR(X$3)-YEAR($E42))*12+MONTH(X$3)-MONTH($E42))/$G42,0)*$G42)+$G42),EDATE($E42,MAX(0,ROUNDUP(((YEAR(X$3)-YEAR($E42))*12+MONTH(X$3)-MONTH($E42))/$G42,0)*$G42)))&lt;=IF($F42="",X$4,MIN(X$4,$F42))),1,0)))))</f>
        <v>0</v>
      </c>
      <c r="Y42" s="25" t="n">
        <f aca="false">IF(OR($C42="",$C42=0,$E42="",$B42="",$G42=-2),0,$C42*IF($G42=0,IF(IF($F42="",Y$4,MIN(Y$4,$F42))&lt;$E42,0,MAX(0,INT((IF($F42="",Y$4,MIN(Y$4,$F42))-$E42)/7)+1-MAX(0,ROUNDUP((Y$3-$E42)/7,0)))),IF($G42=101,(AND(EOMONTH(Y$3,0)&gt;=MAX(Y$3,$E42),EOMONTH(Y$3,0)&lt;=IF($F42="",Y$4,MIN(Y$4,$F42)))*1+AND(EOMONTH(Y$4,0)&lt;&gt;EOMONTH(Y$3,0),EOMONTH(Y$4,0)&gt;=MAX(Y$3,$E42),EOMONTH(Y$4,0)&lt;=IF($F42="",Y$4,MIN(Y$4,$F42)))*1),IF($G42=102,(AND(WORKDAY(EOMONTH(Y$3,0)+1,-3)&gt;=MAX(Y$3,$E42),WORKDAY(EOMONTH(Y$3,0)+1,-3)&lt;=IF($F42="",Y$4,MIN(Y$4,$F42)))*1+AND(WORKDAY(EOMONTH(Y$4,0)+1,-3)&lt;&gt;WORKDAY(EOMONTH(Y$3,0)+1,-3),WORKDAY(EOMONTH(Y$4,0)+1,-3)&gt;=MAX(Y$3,$E42),WORKDAY(EOMONTH(Y$4,0)+1,-3)&lt;=IF($F42="",Y$4,MIN(Y$4,$F42)))*1),IF(AND(IF(EDATE($E42,MAX(0,ROUNDUP(((YEAR(Y$3)-YEAR($E42))*12+MONTH(Y$3)-MONTH($E42))/$G42,0)*$G42))&lt;Y$3,EDATE($E42,MAX(0,ROUNDUP(((YEAR(Y$3)-YEAR($E42))*12+MONTH(Y$3)-MONTH($E42))/$G42,0)*$G42)+$G42),EDATE($E42,MAX(0,ROUNDUP(((YEAR(Y$3)-YEAR($E42))*12+MONTH(Y$3)-MONTH($E42))/$G42,0)*$G42)))&gt;=Y$3,IF(EDATE($E42,MAX(0,ROUNDUP(((YEAR(Y$3)-YEAR($E42))*12+MONTH(Y$3)-MONTH($E42))/$G42,0)*$G42))&lt;Y$3,EDATE($E42,MAX(0,ROUNDUP(((YEAR(Y$3)-YEAR($E42))*12+MONTH(Y$3)-MONTH($E42))/$G42,0)*$G42)+$G42),EDATE($E42,MAX(0,ROUNDUP(((YEAR(Y$3)-YEAR($E42))*12+MONTH(Y$3)-MONTH($E42))/$G42,0)*$G42)))&lt;=IF($F42="",Y$4,MIN(Y$4,$F42))),1,0)))))</f>
        <v>0</v>
      </c>
      <c r="Z42" s="25" t="n">
        <f aca="false">IF(OR($C42="",$C42=0,$E42="",$B42="",$G42=-2),0,$C42*IF($G42=0,IF(IF($F42="",Z$4,MIN(Z$4,$F42))&lt;$E42,0,MAX(0,INT((IF($F42="",Z$4,MIN(Z$4,$F42))-$E42)/7)+1-MAX(0,ROUNDUP((Z$3-$E42)/7,0)))),IF($G42=101,(AND(EOMONTH(Z$3,0)&gt;=MAX(Z$3,$E42),EOMONTH(Z$3,0)&lt;=IF($F42="",Z$4,MIN(Z$4,$F42)))*1+AND(EOMONTH(Z$4,0)&lt;&gt;EOMONTH(Z$3,0),EOMONTH(Z$4,0)&gt;=MAX(Z$3,$E42),EOMONTH(Z$4,0)&lt;=IF($F42="",Z$4,MIN(Z$4,$F42)))*1),IF($G42=102,(AND(WORKDAY(EOMONTH(Z$3,0)+1,-3)&gt;=MAX(Z$3,$E42),WORKDAY(EOMONTH(Z$3,0)+1,-3)&lt;=IF($F42="",Z$4,MIN(Z$4,$F42)))*1+AND(WORKDAY(EOMONTH(Z$4,0)+1,-3)&lt;&gt;WORKDAY(EOMONTH(Z$3,0)+1,-3),WORKDAY(EOMONTH(Z$4,0)+1,-3)&gt;=MAX(Z$3,$E42),WORKDAY(EOMONTH(Z$4,0)+1,-3)&lt;=IF($F42="",Z$4,MIN(Z$4,$F42)))*1),IF(AND(IF(EDATE($E42,MAX(0,ROUNDUP(((YEAR(Z$3)-YEAR($E42))*12+MONTH(Z$3)-MONTH($E42))/$G42,0)*$G42))&lt;Z$3,EDATE($E42,MAX(0,ROUNDUP(((YEAR(Z$3)-YEAR($E42))*12+MONTH(Z$3)-MONTH($E42))/$G42,0)*$G42)+$G42),EDATE($E42,MAX(0,ROUNDUP(((YEAR(Z$3)-YEAR($E42))*12+MONTH(Z$3)-MONTH($E42))/$G42,0)*$G42)))&gt;=Z$3,IF(EDATE($E42,MAX(0,ROUNDUP(((YEAR(Z$3)-YEAR($E42))*12+MONTH(Z$3)-MONTH($E42))/$G42,0)*$G42))&lt;Z$3,EDATE($E42,MAX(0,ROUNDUP(((YEAR(Z$3)-YEAR($E42))*12+MONTH(Z$3)-MONTH($E42))/$G42,0)*$G42)+$G42),EDATE($E42,MAX(0,ROUNDUP(((YEAR(Z$3)-YEAR($E42))*12+MONTH(Z$3)-MONTH($E42))/$G42,0)*$G42)))&lt;=IF($F42="",Z$4,MIN(Z$4,$F42))),1,0)))))</f>
        <v>0</v>
      </c>
      <c r="AA42" s="25" t="n">
        <f aca="false">IF(OR($C42="",$C42=0,$E42="",$B42="",$G42=-2),0,$C42*IF($G42=0,IF(IF($F42="",AA$4,MIN(AA$4,$F42))&lt;$E42,0,MAX(0,INT((IF($F42="",AA$4,MIN(AA$4,$F42))-$E42)/7)+1-MAX(0,ROUNDUP((AA$3-$E42)/7,0)))),IF($G42=101,(AND(EOMONTH(AA$3,0)&gt;=MAX(AA$3,$E42),EOMONTH(AA$3,0)&lt;=IF($F42="",AA$4,MIN(AA$4,$F42)))*1+AND(EOMONTH(AA$4,0)&lt;&gt;EOMONTH(AA$3,0),EOMONTH(AA$4,0)&gt;=MAX(AA$3,$E42),EOMONTH(AA$4,0)&lt;=IF($F42="",AA$4,MIN(AA$4,$F42)))*1),IF($G42=102,(AND(WORKDAY(EOMONTH(AA$3,0)+1,-3)&gt;=MAX(AA$3,$E42),WORKDAY(EOMONTH(AA$3,0)+1,-3)&lt;=IF($F42="",AA$4,MIN(AA$4,$F42)))*1+AND(WORKDAY(EOMONTH(AA$4,0)+1,-3)&lt;&gt;WORKDAY(EOMONTH(AA$3,0)+1,-3),WORKDAY(EOMONTH(AA$4,0)+1,-3)&gt;=MAX(AA$3,$E42),WORKDAY(EOMONTH(AA$4,0)+1,-3)&lt;=IF($F42="",AA$4,MIN(AA$4,$F42)))*1),IF(AND(IF(EDATE($E42,MAX(0,ROUNDUP(((YEAR(AA$3)-YEAR($E42))*12+MONTH(AA$3)-MONTH($E42))/$G42,0)*$G42))&lt;AA$3,EDATE($E42,MAX(0,ROUNDUP(((YEAR(AA$3)-YEAR($E42))*12+MONTH(AA$3)-MONTH($E42))/$G42,0)*$G42)+$G42),EDATE($E42,MAX(0,ROUNDUP(((YEAR(AA$3)-YEAR($E42))*12+MONTH(AA$3)-MONTH($E42))/$G42,0)*$G42)))&gt;=AA$3,IF(EDATE($E42,MAX(0,ROUNDUP(((YEAR(AA$3)-YEAR($E42))*12+MONTH(AA$3)-MONTH($E42))/$G42,0)*$G42))&lt;AA$3,EDATE($E42,MAX(0,ROUNDUP(((YEAR(AA$3)-YEAR($E42))*12+MONTH(AA$3)-MONTH($E42))/$G42,0)*$G42)+$G42),EDATE($E42,MAX(0,ROUNDUP(((YEAR(AA$3)-YEAR($E42))*12+MONTH(AA$3)-MONTH($E42))/$G42,0)*$G42)))&lt;=IF($F42="",AA$4,MIN(AA$4,$F42))),1,0)))))</f>
        <v>0</v>
      </c>
      <c r="AB42" s="25" t="n">
        <f aca="false">IF(OR($C42="",$C42=0,$E42="",$B42="",$G42=-2),0,$C42*IF($G42=0,IF(IF($F42="",AB$4,MIN(AB$4,$F42))&lt;$E42,0,MAX(0,INT((IF($F42="",AB$4,MIN(AB$4,$F42))-$E42)/7)+1-MAX(0,ROUNDUP((AB$3-$E42)/7,0)))),IF($G42=101,(AND(EOMONTH(AB$3,0)&gt;=MAX(AB$3,$E42),EOMONTH(AB$3,0)&lt;=IF($F42="",AB$4,MIN(AB$4,$F42)))*1+AND(EOMONTH(AB$4,0)&lt;&gt;EOMONTH(AB$3,0),EOMONTH(AB$4,0)&gt;=MAX(AB$3,$E42),EOMONTH(AB$4,0)&lt;=IF($F42="",AB$4,MIN(AB$4,$F42)))*1),IF($G42=102,(AND(WORKDAY(EOMONTH(AB$3,0)+1,-3)&gt;=MAX(AB$3,$E42),WORKDAY(EOMONTH(AB$3,0)+1,-3)&lt;=IF($F42="",AB$4,MIN(AB$4,$F42)))*1+AND(WORKDAY(EOMONTH(AB$4,0)+1,-3)&lt;&gt;WORKDAY(EOMONTH(AB$3,0)+1,-3),WORKDAY(EOMONTH(AB$4,0)+1,-3)&gt;=MAX(AB$3,$E42),WORKDAY(EOMONTH(AB$4,0)+1,-3)&lt;=IF($F42="",AB$4,MIN(AB$4,$F42)))*1),IF(AND(IF(EDATE($E42,MAX(0,ROUNDUP(((YEAR(AB$3)-YEAR($E42))*12+MONTH(AB$3)-MONTH($E42))/$G42,0)*$G42))&lt;AB$3,EDATE($E42,MAX(0,ROUNDUP(((YEAR(AB$3)-YEAR($E42))*12+MONTH(AB$3)-MONTH($E42))/$G42,0)*$G42)+$G42),EDATE($E42,MAX(0,ROUNDUP(((YEAR(AB$3)-YEAR($E42))*12+MONTH(AB$3)-MONTH($E42))/$G42,0)*$G42)))&gt;=AB$3,IF(EDATE($E42,MAX(0,ROUNDUP(((YEAR(AB$3)-YEAR($E42))*12+MONTH(AB$3)-MONTH($E42))/$G42,0)*$G42))&lt;AB$3,EDATE($E42,MAX(0,ROUNDUP(((YEAR(AB$3)-YEAR($E42))*12+MONTH(AB$3)-MONTH($E42))/$G42,0)*$G42)+$G42),EDATE($E42,MAX(0,ROUNDUP(((YEAR(AB$3)-YEAR($E42))*12+MONTH(AB$3)-MONTH($E42))/$G42,0)*$G42)))&lt;=IF($F42="",AB$4,MIN(AB$4,$F42))),1,0)))))</f>
        <v>0</v>
      </c>
      <c r="AC42" s="25" t="n">
        <f aca="false">IF(OR($C42="",$C42=0,$E42="",$B42="",$G42=-2),0,$C42*IF($G42=0,IF(IF($F42="",AC$4,MIN(AC$4,$F42))&lt;$E42,0,MAX(0,INT((IF($F42="",AC$4,MIN(AC$4,$F42))-$E42)/7)+1-MAX(0,ROUNDUP((AC$3-$E42)/7,0)))),IF($G42=101,(AND(EOMONTH(AC$3,0)&gt;=MAX(AC$3,$E42),EOMONTH(AC$3,0)&lt;=IF($F42="",AC$4,MIN(AC$4,$F42)))*1+AND(EOMONTH(AC$4,0)&lt;&gt;EOMONTH(AC$3,0),EOMONTH(AC$4,0)&gt;=MAX(AC$3,$E42),EOMONTH(AC$4,0)&lt;=IF($F42="",AC$4,MIN(AC$4,$F42)))*1),IF($G42=102,(AND(WORKDAY(EOMONTH(AC$3,0)+1,-3)&gt;=MAX(AC$3,$E42),WORKDAY(EOMONTH(AC$3,0)+1,-3)&lt;=IF($F42="",AC$4,MIN(AC$4,$F42)))*1+AND(WORKDAY(EOMONTH(AC$4,0)+1,-3)&lt;&gt;WORKDAY(EOMONTH(AC$3,0)+1,-3),WORKDAY(EOMONTH(AC$4,0)+1,-3)&gt;=MAX(AC$3,$E42),WORKDAY(EOMONTH(AC$4,0)+1,-3)&lt;=IF($F42="",AC$4,MIN(AC$4,$F42)))*1),IF(AND(IF(EDATE($E42,MAX(0,ROUNDUP(((YEAR(AC$3)-YEAR($E42))*12+MONTH(AC$3)-MONTH($E42))/$G42,0)*$G42))&lt;AC$3,EDATE($E42,MAX(0,ROUNDUP(((YEAR(AC$3)-YEAR($E42))*12+MONTH(AC$3)-MONTH($E42))/$G42,0)*$G42)+$G42),EDATE($E42,MAX(0,ROUNDUP(((YEAR(AC$3)-YEAR($E42))*12+MONTH(AC$3)-MONTH($E42))/$G42,0)*$G42)))&gt;=AC$3,IF(EDATE($E42,MAX(0,ROUNDUP(((YEAR(AC$3)-YEAR($E42))*12+MONTH(AC$3)-MONTH($E42))/$G42,0)*$G42))&lt;AC$3,EDATE($E42,MAX(0,ROUNDUP(((YEAR(AC$3)-YEAR($E42))*12+MONTH(AC$3)-MONTH($E42))/$G42,0)*$G42)+$G42),EDATE($E42,MAX(0,ROUNDUP(((YEAR(AC$3)-YEAR($E42))*12+MONTH(AC$3)-MONTH($E42))/$G42,0)*$G42)))&lt;=IF($F42="",AC$4,MIN(AC$4,$F42))),1,0)))))</f>
        <v>0</v>
      </c>
      <c r="AD42" s="25" t="n">
        <f aca="false">IF(OR($C42="",$C42=0,$E42="",$B42="",$G42=-2),0,$C42*IF($G42=0,IF(IF($F42="",AD$4,MIN(AD$4,$F42))&lt;$E42,0,MAX(0,INT((IF($F42="",AD$4,MIN(AD$4,$F42))-$E42)/7)+1-MAX(0,ROUNDUP((AD$3-$E42)/7,0)))),IF($G42=101,(AND(EOMONTH(AD$3,0)&gt;=MAX(AD$3,$E42),EOMONTH(AD$3,0)&lt;=IF($F42="",AD$4,MIN(AD$4,$F42)))*1+AND(EOMONTH(AD$4,0)&lt;&gt;EOMONTH(AD$3,0),EOMONTH(AD$4,0)&gt;=MAX(AD$3,$E42),EOMONTH(AD$4,0)&lt;=IF($F42="",AD$4,MIN(AD$4,$F42)))*1),IF($G42=102,(AND(WORKDAY(EOMONTH(AD$3,0)+1,-3)&gt;=MAX(AD$3,$E42),WORKDAY(EOMONTH(AD$3,0)+1,-3)&lt;=IF($F42="",AD$4,MIN(AD$4,$F42)))*1+AND(WORKDAY(EOMONTH(AD$4,0)+1,-3)&lt;&gt;WORKDAY(EOMONTH(AD$3,0)+1,-3),WORKDAY(EOMONTH(AD$4,0)+1,-3)&gt;=MAX(AD$3,$E42),WORKDAY(EOMONTH(AD$4,0)+1,-3)&lt;=IF($F42="",AD$4,MIN(AD$4,$F42)))*1),IF(AND(IF(EDATE($E42,MAX(0,ROUNDUP(((YEAR(AD$3)-YEAR($E42))*12+MONTH(AD$3)-MONTH($E42))/$G42,0)*$G42))&lt;AD$3,EDATE($E42,MAX(0,ROUNDUP(((YEAR(AD$3)-YEAR($E42))*12+MONTH(AD$3)-MONTH($E42))/$G42,0)*$G42)+$G42),EDATE($E42,MAX(0,ROUNDUP(((YEAR(AD$3)-YEAR($E42))*12+MONTH(AD$3)-MONTH($E42))/$G42,0)*$G42)))&gt;=AD$3,IF(EDATE($E42,MAX(0,ROUNDUP(((YEAR(AD$3)-YEAR($E42))*12+MONTH(AD$3)-MONTH($E42))/$G42,0)*$G42))&lt;AD$3,EDATE($E42,MAX(0,ROUNDUP(((YEAR(AD$3)-YEAR($E42))*12+MONTH(AD$3)-MONTH($E42))/$G42,0)*$G42)+$G42),EDATE($E42,MAX(0,ROUNDUP(((YEAR(AD$3)-YEAR($E42))*12+MONTH(AD$3)-MONTH($E42))/$G42,0)*$G42)))&lt;=IF($F42="",AD$4,MIN(AD$4,$F42))),1,0)))))</f>
        <v>0</v>
      </c>
      <c r="AE42" s="25" t="n">
        <f aca="false">IF(OR($C42="",$C42=0,$E42="",$B42="",$G42=-2),0,$C42*IF($G42=0,IF(IF($F42="",AE$4,MIN(AE$4,$F42))&lt;$E42,0,MAX(0,INT((IF($F42="",AE$4,MIN(AE$4,$F42))-$E42)/7)+1-MAX(0,ROUNDUP((AE$3-$E42)/7,0)))),IF($G42=101,(AND(EOMONTH(AE$3,0)&gt;=MAX(AE$3,$E42),EOMONTH(AE$3,0)&lt;=IF($F42="",AE$4,MIN(AE$4,$F42)))*1+AND(EOMONTH(AE$4,0)&lt;&gt;EOMONTH(AE$3,0),EOMONTH(AE$4,0)&gt;=MAX(AE$3,$E42),EOMONTH(AE$4,0)&lt;=IF($F42="",AE$4,MIN(AE$4,$F42)))*1),IF($G42=102,(AND(WORKDAY(EOMONTH(AE$3,0)+1,-3)&gt;=MAX(AE$3,$E42),WORKDAY(EOMONTH(AE$3,0)+1,-3)&lt;=IF($F42="",AE$4,MIN(AE$4,$F42)))*1+AND(WORKDAY(EOMONTH(AE$4,0)+1,-3)&lt;&gt;WORKDAY(EOMONTH(AE$3,0)+1,-3),WORKDAY(EOMONTH(AE$4,0)+1,-3)&gt;=MAX(AE$3,$E42),WORKDAY(EOMONTH(AE$4,0)+1,-3)&lt;=IF($F42="",AE$4,MIN(AE$4,$F42)))*1),IF(AND(IF(EDATE($E42,MAX(0,ROUNDUP(((YEAR(AE$3)-YEAR($E42))*12+MONTH(AE$3)-MONTH($E42))/$G42,0)*$G42))&lt;AE$3,EDATE($E42,MAX(0,ROUNDUP(((YEAR(AE$3)-YEAR($E42))*12+MONTH(AE$3)-MONTH($E42))/$G42,0)*$G42)+$G42),EDATE($E42,MAX(0,ROUNDUP(((YEAR(AE$3)-YEAR($E42))*12+MONTH(AE$3)-MONTH($E42))/$G42,0)*$G42)))&gt;=AE$3,IF(EDATE($E42,MAX(0,ROUNDUP(((YEAR(AE$3)-YEAR($E42))*12+MONTH(AE$3)-MONTH($E42))/$G42,0)*$G42))&lt;AE$3,EDATE($E42,MAX(0,ROUNDUP(((YEAR(AE$3)-YEAR($E42))*12+MONTH(AE$3)-MONTH($E42))/$G42,0)*$G42)+$G42),EDATE($E42,MAX(0,ROUNDUP(((YEAR(AE$3)-YEAR($E42))*12+MONTH(AE$3)-MONTH($E42))/$G42,0)*$G42)))&lt;=IF($F42="",AE$4,MIN(AE$4,$F42))),1,0)))))</f>
        <v>0</v>
      </c>
      <c r="AF42" s="25" t="n">
        <f aca="false">IF(OR($C42="",$C42=0,$E42="",$B42="",$G42=-2),0,$C42*IF($G42=0,IF(IF($F42="",AF$4,MIN(AF$4,$F42))&lt;$E42,0,MAX(0,INT((IF($F42="",AF$4,MIN(AF$4,$F42))-$E42)/7)+1-MAX(0,ROUNDUP((AF$3-$E42)/7,0)))),IF($G42=101,(AND(EOMONTH(AF$3,0)&gt;=MAX(AF$3,$E42),EOMONTH(AF$3,0)&lt;=IF($F42="",AF$4,MIN(AF$4,$F42)))*1+AND(EOMONTH(AF$4,0)&lt;&gt;EOMONTH(AF$3,0),EOMONTH(AF$4,0)&gt;=MAX(AF$3,$E42),EOMONTH(AF$4,0)&lt;=IF($F42="",AF$4,MIN(AF$4,$F42)))*1),IF($G42=102,(AND(WORKDAY(EOMONTH(AF$3,0)+1,-3)&gt;=MAX(AF$3,$E42),WORKDAY(EOMONTH(AF$3,0)+1,-3)&lt;=IF($F42="",AF$4,MIN(AF$4,$F42)))*1+AND(WORKDAY(EOMONTH(AF$4,0)+1,-3)&lt;&gt;WORKDAY(EOMONTH(AF$3,0)+1,-3),WORKDAY(EOMONTH(AF$4,0)+1,-3)&gt;=MAX(AF$3,$E42),WORKDAY(EOMONTH(AF$4,0)+1,-3)&lt;=IF($F42="",AF$4,MIN(AF$4,$F42)))*1),IF(AND(IF(EDATE($E42,MAX(0,ROUNDUP(((YEAR(AF$3)-YEAR($E42))*12+MONTH(AF$3)-MONTH($E42))/$G42,0)*$G42))&lt;AF$3,EDATE($E42,MAX(0,ROUNDUP(((YEAR(AF$3)-YEAR($E42))*12+MONTH(AF$3)-MONTH($E42))/$G42,0)*$G42)+$G42),EDATE($E42,MAX(0,ROUNDUP(((YEAR(AF$3)-YEAR($E42))*12+MONTH(AF$3)-MONTH($E42))/$G42,0)*$G42)))&gt;=AF$3,IF(EDATE($E42,MAX(0,ROUNDUP(((YEAR(AF$3)-YEAR($E42))*12+MONTH(AF$3)-MONTH($E42))/$G42,0)*$G42))&lt;AF$3,EDATE($E42,MAX(0,ROUNDUP(((YEAR(AF$3)-YEAR($E42))*12+MONTH(AF$3)-MONTH($E42))/$G42,0)*$G42)+$G42),EDATE($E42,MAX(0,ROUNDUP(((YEAR(AF$3)-YEAR($E42))*12+MONTH(AF$3)-MONTH($E42))/$G42,0)*$G42)))&lt;=IF($F42="",AF$4,MIN(AF$4,$F42))),1,0)))))</f>
        <v>0</v>
      </c>
    </row>
    <row r="43" customFormat="false" ht="15" hidden="false" customHeight="false" outlineLevel="0" collapsed="false">
      <c r="A43" s="5"/>
      <c r="B43" s="5"/>
      <c r="C43" s="8"/>
      <c r="D43" s="5"/>
      <c r="E43" s="7"/>
      <c r="F43" s="7"/>
      <c r="G43" s="24" t="n">
        <f aca="false">IFERROR(INDEX(Listen!$E$2:$E$8,MATCH(D43,Listen!$D$2:$D$8,0)),-2)</f>
        <v>-2</v>
      </c>
      <c r="H43" s="25" t="n">
        <f aca="false">IF(OR($C43="",$C43=0,$E43="",$B43="",$G43=-2),0,$C43*IF($G43=0,IF(IF($F43="",H$4,MIN(H$4,$F43))&lt;$E43,0,MAX(0,INT((IF($F43="",H$4,MIN(H$4,$F43))-$E43)/7)+1-MAX(0,ROUNDUP((H$3-$E43)/7,0)))),IF($G43=101,(AND(EOMONTH(H$3,0)&gt;=MAX(H$3,$E43),EOMONTH(H$3,0)&lt;=IF($F43="",H$4,MIN(H$4,$F43)))*1+AND(EOMONTH(H$4,0)&lt;&gt;EOMONTH(H$3,0),EOMONTH(H$4,0)&gt;=MAX(H$3,$E43),EOMONTH(H$4,0)&lt;=IF($F43="",H$4,MIN(H$4,$F43)))*1),IF($G43=102,(AND(WORKDAY(EOMONTH(H$3,0)+1,-3)&gt;=MAX(H$3,$E43),WORKDAY(EOMONTH(H$3,0)+1,-3)&lt;=IF($F43="",H$4,MIN(H$4,$F43)))*1+AND(WORKDAY(EOMONTH(H$4,0)+1,-3)&lt;&gt;WORKDAY(EOMONTH(H$3,0)+1,-3),WORKDAY(EOMONTH(H$4,0)+1,-3)&gt;=MAX(H$3,$E43),WORKDAY(EOMONTH(H$4,0)+1,-3)&lt;=IF($F43="",H$4,MIN(H$4,$F43)))*1),IF(AND(IF(EDATE($E43,MAX(0,ROUNDUP(((YEAR(H$3)-YEAR($E43))*12+MONTH(H$3)-MONTH($E43))/$G43,0)*$G43))&lt;H$3,EDATE($E43,MAX(0,ROUNDUP(((YEAR(H$3)-YEAR($E43))*12+MONTH(H$3)-MONTH($E43))/$G43,0)*$G43)+$G43),EDATE($E43,MAX(0,ROUNDUP(((YEAR(H$3)-YEAR($E43))*12+MONTH(H$3)-MONTH($E43))/$G43,0)*$G43)))&gt;=H$3,IF(EDATE($E43,MAX(0,ROUNDUP(((YEAR(H$3)-YEAR($E43))*12+MONTH(H$3)-MONTH($E43))/$G43,0)*$G43))&lt;H$3,EDATE($E43,MAX(0,ROUNDUP(((YEAR(H$3)-YEAR($E43))*12+MONTH(H$3)-MONTH($E43))/$G43,0)*$G43)+$G43),EDATE($E43,MAX(0,ROUNDUP(((YEAR(H$3)-YEAR($E43))*12+MONTH(H$3)-MONTH($E43))/$G43,0)*$G43)))&lt;=IF($F43="",H$4,MIN(H$4,$F43))),1,0)))))</f>
        <v>0</v>
      </c>
      <c r="I43" s="25" t="n">
        <f aca="false">IF(OR($C43="",$C43=0,$E43="",$B43="",$G43=-2),0,$C43*IF($G43=0,IF(IF($F43="",I$4,MIN(I$4,$F43))&lt;$E43,0,MAX(0,INT((IF($F43="",I$4,MIN(I$4,$F43))-$E43)/7)+1-MAX(0,ROUNDUP((I$3-$E43)/7,0)))),IF($G43=101,(AND(EOMONTH(I$3,0)&gt;=MAX(I$3,$E43),EOMONTH(I$3,0)&lt;=IF($F43="",I$4,MIN(I$4,$F43)))*1+AND(EOMONTH(I$4,0)&lt;&gt;EOMONTH(I$3,0),EOMONTH(I$4,0)&gt;=MAX(I$3,$E43),EOMONTH(I$4,0)&lt;=IF($F43="",I$4,MIN(I$4,$F43)))*1),IF($G43=102,(AND(WORKDAY(EOMONTH(I$3,0)+1,-3)&gt;=MAX(I$3,$E43),WORKDAY(EOMONTH(I$3,0)+1,-3)&lt;=IF($F43="",I$4,MIN(I$4,$F43)))*1+AND(WORKDAY(EOMONTH(I$4,0)+1,-3)&lt;&gt;WORKDAY(EOMONTH(I$3,0)+1,-3),WORKDAY(EOMONTH(I$4,0)+1,-3)&gt;=MAX(I$3,$E43),WORKDAY(EOMONTH(I$4,0)+1,-3)&lt;=IF($F43="",I$4,MIN(I$4,$F43)))*1),IF(AND(IF(EDATE($E43,MAX(0,ROUNDUP(((YEAR(I$3)-YEAR($E43))*12+MONTH(I$3)-MONTH($E43))/$G43,0)*$G43))&lt;I$3,EDATE($E43,MAX(0,ROUNDUP(((YEAR(I$3)-YEAR($E43))*12+MONTH(I$3)-MONTH($E43))/$G43,0)*$G43)+$G43),EDATE($E43,MAX(0,ROUNDUP(((YEAR(I$3)-YEAR($E43))*12+MONTH(I$3)-MONTH($E43))/$G43,0)*$G43)))&gt;=I$3,IF(EDATE($E43,MAX(0,ROUNDUP(((YEAR(I$3)-YEAR($E43))*12+MONTH(I$3)-MONTH($E43))/$G43,0)*$G43))&lt;I$3,EDATE($E43,MAX(0,ROUNDUP(((YEAR(I$3)-YEAR($E43))*12+MONTH(I$3)-MONTH($E43))/$G43,0)*$G43)+$G43),EDATE($E43,MAX(0,ROUNDUP(((YEAR(I$3)-YEAR($E43))*12+MONTH(I$3)-MONTH($E43))/$G43,0)*$G43)))&lt;=IF($F43="",I$4,MIN(I$4,$F43))),1,0)))))</f>
        <v>0</v>
      </c>
      <c r="J43" s="25" t="n">
        <f aca="false">IF(OR($C43="",$C43=0,$E43="",$B43="",$G43=-2),0,$C43*IF($G43=0,IF(IF($F43="",J$4,MIN(J$4,$F43))&lt;$E43,0,MAX(0,INT((IF($F43="",J$4,MIN(J$4,$F43))-$E43)/7)+1-MAX(0,ROUNDUP((J$3-$E43)/7,0)))),IF($G43=101,(AND(EOMONTH(J$3,0)&gt;=MAX(J$3,$E43),EOMONTH(J$3,0)&lt;=IF($F43="",J$4,MIN(J$4,$F43)))*1+AND(EOMONTH(J$4,0)&lt;&gt;EOMONTH(J$3,0),EOMONTH(J$4,0)&gt;=MAX(J$3,$E43),EOMONTH(J$4,0)&lt;=IF($F43="",J$4,MIN(J$4,$F43)))*1),IF($G43=102,(AND(WORKDAY(EOMONTH(J$3,0)+1,-3)&gt;=MAX(J$3,$E43),WORKDAY(EOMONTH(J$3,0)+1,-3)&lt;=IF($F43="",J$4,MIN(J$4,$F43)))*1+AND(WORKDAY(EOMONTH(J$4,0)+1,-3)&lt;&gt;WORKDAY(EOMONTH(J$3,0)+1,-3),WORKDAY(EOMONTH(J$4,0)+1,-3)&gt;=MAX(J$3,$E43),WORKDAY(EOMONTH(J$4,0)+1,-3)&lt;=IF($F43="",J$4,MIN(J$4,$F43)))*1),IF(AND(IF(EDATE($E43,MAX(0,ROUNDUP(((YEAR(J$3)-YEAR($E43))*12+MONTH(J$3)-MONTH($E43))/$G43,0)*$G43))&lt;J$3,EDATE($E43,MAX(0,ROUNDUP(((YEAR(J$3)-YEAR($E43))*12+MONTH(J$3)-MONTH($E43))/$G43,0)*$G43)+$G43),EDATE($E43,MAX(0,ROUNDUP(((YEAR(J$3)-YEAR($E43))*12+MONTH(J$3)-MONTH($E43))/$G43,0)*$G43)))&gt;=J$3,IF(EDATE($E43,MAX(0,ROUNDUP(((YEAR(J$3)-YEAR($E43))*12+MONTH(J$3)-MONTH($E43))/$G43,0)*$G43))&lt;J$3,EDATE($E43,MAX(0,ROUNDUP(((YEAR(J$3)-YEAR($E43))*12+MONTH(J$3)-MONTH($E43))/$G43,0)*$G43)+$G43),EDATE($E43,MAX(0,ROUNDUP(((YEAR(J$3)-YEAR($E43))*12+MONTH(J$3)-MONTH($E43))/$G43,0)*$G43)))&lt;=IF($F43="",J$4,MIN(J$4,$F43))),1,0)))))</f>
        <v>0</v>
      </c>
      <c r="K43" s="25" t="n">
        <f aca="false">IF(OR($C43="",$C43=0,$E43="",$B43="",$G43=-2),0,$C43*IF($G43=0,IF(IF($F43="",K$4,MIN(K$4,$F43))&lt;$E43,0,MAX(0,INT((IF($F43="",K$4,MIN(K$4,$F43))-$E43)/7)+1-MAX(0,ROUNDUP((K$3-$E43)/7,0)))),IF($G43=101,(AND(EOMONTH(K$3,0)&gt;=MAX(K$3,$E43),EOMONTH(K$3,0)&lt;=IF($F43="",K$4,MIN(K$4,$F43)))*1+AND(EOMONTH(K$4,0)&lt;&gt;EOMONTH(K$3,0),EOMONTH(K$4,0)&gt;=MAX(K$3,$E43),EOMONTH(K$4,0)&lt;=IF($F43="",K$4,MIN(K$4,$F43)))*1),IF($G43=102,(AND(WORKDAY(EOMONTH(K$3,0)+1,-3)&gt;=MAX(K$3,$E43),WORKDAY(EOMONTH(K$3,0)+1,-3)&lt;=IF($F43="",K$4,MIN(K$4,$F43)))*1+AND(WORKDAY(EOMONTH(K$4,0)+1,-3)&lt;&gt;WORKDAY(EOMONTH(K$3,0)+1,-3),WORKDAY(EOMONTH(K$4,0)+1,-3)&gt;=MAX(K$3,$E43),WORKDAY(EOMONTH(K$4,0)+1,-3)&lt;=IF($F43="",K$4,MIN(K$4,$F43)))*1),IF(AND(IF(EDATE($E43,MAX(0,ROUNDUP(((YEAR(K$3)-YEAR($E43))*12+MONTH(K$3)-MONTH($E43))/$G43,0)*$G43))&lt;K$3,EDATE($E43,MAX(0,ROUNDUP(((YEAR(K$3)-YEAR($E43))*12+MONTH(K$3)-MONTH($E43))/$G43,0)*$G43)+$G43),EDATE($E43,MAX(0,ROUNDUP(((YEAR(K$3)-YEAR($E43))*12+MONTH(K$3)-MONTH($E43))/$G43,0)*$G43)))&gt;=K$3,IF(EDATE($E43,MAX(0,ROUNDUP(((YEAR(K$3)-YEAR($E43))*12+MONTH(K$3)-MONTH($E43))/$G43,0)*$G43))&lt;K$3,EDATE($E43,MAX(0,ROUNDUP(((YEAR(K$3)-YEAR($E43))*12+MONTH(K$3)-MONTH($E43))/$G43,0)*$G43)+$G43),EDATE($E43,MAX(0,ROUNDUP(((YEAR(K$3)-YEAR($E43))*12+MONTH(K$3)-MONTH($E43))/$G43,0)*$G43)))&lt;=IF($F43="",K$4,MIN(K$4,$F43))),1,0)))))</f>
        <v>0</v>
      </c>
      <c r="L43" s="25" t="n">
        <f aca="false">IF(OR($C43="",$C43=0,$E43="",$B43="",$G43=-2),0,$C43*IF($G43=0,IF(IF($F43="",L$4,MIN(L$4,$F43))&lt;$E43,0,MAX(0,INT((IF($F43="",L$4,MIN(L$4,$F43))-$E43)/7)+1-MAX(0,ROUNDUP((L$3-$E43)/7,0)))),IF($G43=101,(AND(EOMONTH(L$3,0)&gt;=MAX(L$3,$E43),EOMONTH(L$3,0)&lt;=IF($F43="",L$4,MIN(L$4,$F43)))*1+AND(EOMONTH(L$4,0)&lt;&gt;EOMONTH(L$3,0),EOMONTH(L$4,0)&gt;=MAX(L$3,$E43),EOMONTH(L$4,0)&lt;=IF($F43="",L$4,MIN(L$4,$F43)))*1),IF($G43=102,(AND(WORKDAY(EOMONTH(L$3,0)+1,-3)&gt;=MAX(L$3,$E43),WORKDAY(EOMONTH(L$3,0)+1,-3)&lt;=IF($F43="",L$4,MIN(L$4,$F43)))*1+AND(WORKDAY(EOMONTH(L$4,0)+1,-3)&lt;&gt;WORKDAY(EOMONTH(L$3,0)+1,-3),WORKDAY(EOMONTH(L$4,0)+1,-3)&gt;=MAX(L$3,$E43),WORKDAY(EOMONTH(L$4,0)+1,-3)&lt;=IF($F43="",L$4,MIN(L$4,$F43)))*1),IF(AND(IF(EDATE($E43,MAX(0,ROUNDUP(((YEAR(L$3)-YEAR($E43))*12+MONTH(L$3)-MONTH($E43))/$G43,0)*$G43))&lt;L$3,EDATE($E43,MAX(0,ROUNDUP(((YEAR(L$3)-YEAR($E43))*12+MONTH(L$3)-MONTH($E43))/$G43,0)*$G43)+$G43),EDATE($E43,MAX(0,ROUNDUP(((YEAR(L$3)-YEAR($E43))*12+MONTH(L$3)-MONTH($E43))/$G43,0)*$G43)))&gt;=L$3,IF(EDATE($E43,MAX(0,ROUNDUP(((YEAR(L$3)-YEAR($E43))*12+MONTH(L$3)-MONTH($E43))/$G43,0)*$G43))&lt;L$3,EDATE($E43,MAX(0,ROUNDUP(((YEAR(L$3)-YEAR($E43))*12+MONTH(L$3)-MONTH($E43))/$G43,0)*$G43)+$G43),EDATE($E43,MAX(0,ROUNDUP(((YEAR(L$3)-YEAR($E43))*12+MONTH(L$3)-MONTH($E43))/$G43,0)*$G43)))&lt;=IF($F43="",L$4,MIN(L$4,$F43))),1,0)))))</f>
        <v>0</v>
      </c>
      <c r="M43" s="25" t="n">
        <f aca="false">IF(OR($C43="",$C43=0,$E43="",$B43="",$G43=-2),0,$C43*IF($G43=0,IF(IF($F43="",M$4,MIN(M$4,$F43))&lt;$E43,0,MAX(0,INT((IF($F43="",M$4,MIN(M$4,$F43))-$E43)/7)+1-MAX(0,ROUNDUP((M$3-$E43)/7,0)))),IF($G43=101,(AND(EOMONTH(M$3,0)&gt;=MAX(M$3,$E43),EOMONTH(M$3,0)&lt;=IF($F43="",M$4,MIN(M$4,$F43)))*1+AND(EOMONTH(M$4,0)&lt;&gt;EOMONTH(M$3,0),EOMONTH(M$4,0)&gt;=MAX(M$3,$E43),EOMONTH(M$4,0)&lt;=IF($F43="",M$4,MIN(M$4,$F43)))*1),IF($G43=102,(AND(WORKDAY(EOMONTH(M$3,0)+1,-3)&gt;=MAX(M$3,$E43),WORKDAY(EOMONTH(M$3,0)+1,-3)&lt;=IF($F43="",M$4,MIN(M$4,$F43)))*1+AND(WORKDAY(EOMONTH(M$4,0)+1,-3)&lt;&gt;WORKDAY(EOMONTH(M$3,0)+1,-3),WORKDAY(EOMONTH(M$4,0)+1,-3)&gt;=MAX(M$3,$E43),WORKDAY(EOMONTH(M$4,0)+1,-3)&lt;=IF($F43="",M$4,MIN(M$4,$F43)))*1),IF(AND(IF(EDATE($E43,MAX(0,ROUNDUP(((YEAR(M$3)-YEAR($E43))*12+MONTH(M$3)-MONTH($E43))/$G43,0)*$G43))&lt;M$3,EDATE($E43,MAX(0,ROUNDUP(((YEAR(M$3)-YEAR($E43))*12+MONTH(M$3)-MONTH($E43))/$G43,0)*$G43)+$G43),EDATE($E43,MAX(0,ROUNDUP(((YEAR(M$3)-YEAR($E43))*12+MONTH(M$3)-MONTH($E43))/$G43,0)*$G43)))&gt;=M$3,IF(EDATE($E43,MAX(0,ROUNDUP(((YEAR(M$3)-YEAR($E43))*12+MONTH(M$3)-MONTH($E43))/$G43,0)*$G43))&lt;M$3,EDATE($E43,MAX(0,ROUNDUP(((YEAR(M$3)-YEAR($E43))*12+MONTH(M$3)-MONTH($E43))/$G43,0)*$G43)+$G43),EDATE($E43,MAX(0,ROUNDUP(((YEAR(M$3)-YEAR($E43))*12+MONTH(M$3)-MONTH($E43))/$G43,0)*$G43)))&lt;=IF($F43="",M$4,MIN(M$4,$F43))),1,0)))))</f>
        <v>0</v>
      </c>
      <c r="N43" s="25" t="n">
        <f aca="false">IF(OR($C43="",$C43=0,$E43="",$B43="",$G43=-2),0,$C43*IF($G43=0,IF(IF($F43="",N$4,MIN(N$4,$F43))&lt;$E43,0,MAX(0,INT((IF($F43="",N$4,MIN(N$4,$F43))-$E43)/7)+1-MAX(0,ROUNDUP((N$3-$E43)/7,0)))),IF($G43=101,(AND(EOMONTH(N$3,0)&gt;=MAX(N$3,$E43),EOMONTH(N$3,0)&lt;=IF($F43="",N$4,MIN(N$4,$F43)))*1+AND(EOMONTH(N$4,0)&lt;&gt;EOMONTH(N$3,0),EOMONTH(N$4,0)&gt;=MAX(N$3,$E43),EOMONTH(N$4,0)&lt;=IF($F43="",N$4,MIN(N$4,$F43)))*1),IF($G43=102,(AND(WORKDAY(EOMONTH(N$3,0)+1,-3)&gt;=MAX(N$3,$E43),WORKDAY(EOMONTH(N$3,0)+1,-3)&lt;=IF($F43="",N$4,MIN(N$4,$F43)))*1+AND(WORKDAY(EOMONTH(N$4,0)+1,-3)&lt;&gt;WORKDAY(EOMONTH(N$3,0)+1,-3),WORKDAY(EOMONTH(N$4,0)+1,-3)&gt;=MAX(N$3,$E43),WORKDAY(EOMONTH(N$4,0)+1,-3)&lt;=IF($F43="",N$4,MIN(N$4,$F43)))*1),IF(AND(IF(EDATE($E43,MAX(0,ROUNDUP(((YEAR(N$3)-YEAR($E43))*12+MONTH(N$3)-MONTH($E43))/$G43,0)*$G43))&lt;N$3,EDATE($E43,MAX(0,ROUNDUP(((YEAR(N$3)-YEAR($E43))*12+MONTH(N$3)-MONTH($E43))/$G43,0)*$G43)+$G43),EDATE($E43,MAX(0,ROUNDUP(((YEAR(N$3)-YEAR($E43))*12+MONTH(N$3)-MONTH($E43))/$G43,0)*$G43)))&gt;=N$3,IF(EDATE($E43,MAX(0,ROUNDUP(((YEAR(N$3)-YEAR($E43))*12+MONTH(N$3)-MONTH($E43))/$G43,0)*$G43))&lt;N$3,EDATE($E43,MAX(0,ROUNDUP(((YEAR(N$3)-YEAR($E43))*12+MONTH(N$3)-MONTH($E43))/$G43,0)*$G43)+$G43),EDATE($E43,MAX(0,ROUNDUP(((YEAR(N$3)-YEAR($E43))*12+MONTH(N$3)-MONTH($E43))/$G43,0)*$G43)))&lt;=IF($F43="",N$4,MIN(N$4,$F43))),1,0)))))</f>
        <v>0</v>
      </c>
      <c r="O43" s="25" t="n">
        <f aca="false">IF(OR($C43="",$C43=0,$E43="",$B43="",$G43=-2),0,$C43*IF($G43=0,IF(IF($F43="",O$4,MIN(O$4,$F43))&lt;$E43,0,MAX(0,INT((IF($F43="",O$4,MIN(O$4,$F43))-$E43)/7)+1-MAX(0,ROUNDUP((O$3-$E43)/7,0)))),IF($G43=101,(AND(EOMONTH(O$3,0)&gt;=MAX(O$3,$E43),EOMONTH(O$3,0)&lt;=IF($F43="",O$4,MIN(O$4,$F43)))*1+AND(EOMONTH(O$4,0)&lt;&gt;EOMONTH(O$3,0),EOMONTH(O$4,0)&gt;=MAX(O$3,$E43),EOMONTH(O$4,0)&lt;=IF($F43="",O$4,MIN(O$4,$F43)))*1),IF($G43=102,(AND(WORKDAY(EOMONTH(O$3,0)+1,-3)&gt;=MAX(O$3,$E43),WORKDAY(EOMONTH(O$3,0)+1,-3)&lt;=IF($F43="",O$4,MIN(O$4,$F43)))*1+AND(WORKDAY(EOMONTH(O$4,0)+1,-3)&lt;&gt;WORKDAY(EOMONTH(O$3,0)+1,-3),WORKDAY(EOMONTH(O$4,0)+1,-3)&gt;=MAX(O$3,$E43),WORKDAY(EOMONTH(O$4,0)+1,-3)&lt;=IF($F43="",O$4,MIN(O$4,$F43)))*1),IF(AND(IF(EDATE($E43,MAX(0,ROUNDUP(((YEAR(O$3)-YEAR($E43))*12+MONTH(O$3)-MONTH($E43))/$G43,0)*$G43))&lt;O$3,EDATE($E43,MAX(0,ROUNDUP(((YEAR(O$3)-YEAR($E43))*12+MONTH(O$3)-MONTH($E43))/$G43,0)*$G43)+$G43),EDATE($E43,MAX(0,ROUNDUP(((YEAR(O$3)-YEAR($E43))*12+MONTH(O$3)-MONTH($E43))/$G43,0)*$G43)))&gt;=O$3,IF(EDATE($E43,MAX(0,ROUNDUP(((YEAR(O$3)-YEAR($E43))*12+MONTH(O$3)-MONTH($E43))/$G43,0)*$G43))&lt;O$3,EDATE($E43,MAX(0,ROUNDUP(((YEAR(O$3)-YEAR($E43))*12+MONTH(O$3)-MONTH($E43))/$G43,0)*$G43)+$G43),EDATE($E43,MAX(0,ROUNDUP(((YEAR(O$3)-YEAR($E43))*12+MONTH(O$3)-MONTH($E43))/$G43,0)*$G43)))&lt;=IF($F43="",O$4,MIN(O$4,$F43))),1,0)))))</f>
        <v>0</v>
      </c>
      <c r="P43" s="25" t="n">
        <f aca="false">IF(OR($C43="",$C43=0,$E43="",$B43="",$G43=-2),0,$C43*IF($G43=0,IF(IF($F43="",P$4,MIN(P$4,$F43))&lt;$E43,0,MAX(0,INT((IF($F43="",P$4,MIN(P$4,$F43))-$E43)/7)+1-MAX(0,ROUNDUP((P$3-$E43)/7,0)))),IF($G43=101,(AND(EOMONTH(P$3,0)&gt;=MAX(P$3,$E43),EOMONTH(P$3,0)&lt;=IF($F43="",P$4,MIN(P$4,$F43)))*1+AND(EOMONTH(P$4,0)&lt;&gt;EOMONTH(P$3,0),EOMONTH(P$4,0)&gt;=MAX(P$3,$E43),EOMONTH(P$4,0)&lt;=IF($F43="",P$4,MIN(P$4,$F43)))*1),IF($G43=102,(AND(WORKDAY(EOMONTH(P$3,0)+1,-3)&gt;=MAX(P$3,$E43),WORKDAY(EOMONTH(P$3,0)+1,-3)&lt;=IF($F43="",P$4,MIN(P$4,$F43)))*1+AND(WORKDAY(EOMONTH(P$4,0)+1,-3)&lt;&gt;WORKDAY(EOMONTH(P$3,0)+1,-3),WORKDAY(EOMONTH(P$4,0)+1,-3)&gt;=MAX(P$3,$E43),WORKDAY(EOMONTH(P$4,0)+1,-3)&lt;=IF($F43="",P$4,MIN(P$4,$F43)))*1),IF(AND(IF(EDATE($E43,MAX(0,ROUNDUP(((YEAR(P$3)-YEAR($E43))*12+MONTH(P$3)-MONTH($E43))/$G43,0)*$G43))&lt;P$3,EDATE($E43,MAX(0,ROUNDUP(((YEAR(P$3)-YEAR($E43))*12+MONTH(P$3)-MONTH($E43))/$G43,0)*$G43)+$G43),EDATE($E43,MAX(0,ROUNDUP(((YEAR(P$3)-YEAR($E43))*12+MONTH(P$3)-MONTH($E43))/$G43,0)*$G43)))&gt;=P$3,IF(EDATE($E43,MAX(0,ROUNDUP(((YEAR(P$3)-YEAR($E43))*12+MONTH(P$3)-MONTH($E43))/$G43,0)*$G43))&lt;P$3,EDATE($E43,MAX(0,ROUNDUP(((YEAR(P$3)-YEAR($E43))*12+MONTH(P$3)-MONTH($E43))/$G43,0)*$G43)+$G43),EDATE($E43,MAX(0,ROUNDUP(((YEAR(P$3)-YEAR($E43))*12+MONTH(P$3)-MONTH($E43))/$G43,0)*$G43)))&lt;=IF($F43="",P$4,MIN(P$4,$F43))),1,0)))))</f>
        <v>0</v>
      </c>
      <c r="Q43" s="25" t="n">
        <f aca="false">IF(OR($C43="",$C43=0,$E43="",$B43="",$G43=-2),0,$C43*IF($G43=0,IF(IF($F43="",Q$4,MIN(Q$4,$F43))&lt;$E43,0,MAX(0,INT((IF($F43="",Q$4,MIN(Q$4,$F43))-$E43)/7)+1-MAX(0,ROUNDUP((Q$3-$E43)/7,0)))),IF($G43=101,(AND(EOMONTH(Q$3,0)&gt;=MAX(Q$3,$E43),EOMONTH(Q$3,0)&lt;=IF($F43="",Q$4,MIN(Q$4,$F43)))*1+AND(EOMONTH(Q$4,0)&lt;&gt;EOMONTH(Q$3,0),EOMONTH(Q$4,0)&gt;=MAX(Q$3,$E43),EOMONTH(Q$4,0)&lt;=IF($F43="",Q$4,MIN(Q$4,$F43)))*1),IF($G43=102,(AND(WORKDAY(EOMONTH(Q$3,0)+1,-3)&gt;=MAX(Q$3,$E43),WORKDAY(EOMONTH(Q$3,0)+1,-3)&lt;=IF($F43="",Q$4,MIN(Q$4,$F43)))*1+AND(WORKDAY(EOMONTH(Q$4,0)+1,-3)&lt;&gt;WORKDAY(EOMONTH(Q$3,0)+1,-3),WORKDAY(EOMONTH(Q$4,0)+1,-3)&gt;=MAX(Q$3,$E43),WORKDAY(EOMONTH(Q$4,0)+1,-3)&lt;=IF($F43="",Q$4,MIN(Q$4,$F43)))*1),IF(AND(IF(EDATE($E43,MAX(0,ROUNDUP(((YEAR(Q$3)-YEAR($E43))*12+MONTH(Q$3)-MONTH($E43))/$G43,0)*$G43))&lt;Q$3,EDATE($E43,MAX(0,ROUNDUP(((YEAR(Q$3)-YEAR($E43))*12+MONTH(Q$3)-MONTH($E43))/$G43,0)*$G43)+$G43),EDATE($E43,MAX(0,ROUNDUP(((YEAR(Q$3)-YEAR($E43))*12+MONTH(Q$3)-MONTH($E43))/$G43,0)*$G43)))&gt;=Q$3,IF(EDATE($E43,MAX(0,ROUNDUP(((YEAR(Q$3)-YEAR($E43))*12+MONTH(Q$3)-MONTH($E43))/$G43,0)*$G43))&lt;Q$3,EDATE($E43,MAX(0,ROUNDUP(((YEAR(Q$3)-YEAR($E43))*12+MONTH(Q$3)-MONTH($E43))/$G43,0)*$G43)+$G43),EDATE($E43,MAX(0,ROUNDUP(((YEAR(Q$3)-YEAR($E43))*12+MONTH(Q$3)-MONTH($E43))/$G43,0)*$G43)))&lt;=IF($F43="",Q$4,MIN(Q$4,$F43))),1,0)))))</f>
        <v>0</v>
      </c>
      <c r="R43" s="25" t="n">
        <f aca="false">IF(OR($C43="",$C43=0,$E43="",$B43="",$G43=-2),0,$C43*IF($G43=0,IF(IF($F43="",R$4,MIN(R$4,$F43))&lt;$E43,0,MAX(0,INT((IF($F43="",R$4,MIN(R$4,$F43))-$E43)/7)+1-MAX(0,ROUNDUP((R$3-$E43)/7,0)))),IF($G43=101,(AND(EOMONTH(R$3,0)&gt;=MAX(R$3,$E43),EOMONTH(R$3,0)&lt;=IF($F43="",R$4,MIN(R$4,$F43)))*1+AND(EOMONTH(R$4,0)&lt;&gt;EOMONTH(R$3,0),EOMONTH(R$4,0)&gt;=MAX(R$3,$E43),EOMONTH(R$4,0)&lt;=IF($F43="",R$4,MIN(R$4,$F43)))*1),IF($G43=102,(AND(WORKDAY(EOMONTH(R$3,0)+1,-3)&gt;=MAX(R$3,$E43),WORKDAY(EOMONTH(R$3,0)+1,-3)&lt;=IF($F43="",R$4,MIN(R$4,$F43)))*1+AND(WORKDAY(EOMONTH(R$4,0)+1,-3)&lt;&gt;WORKDAY(EOMONTH(R$3,0)+1,-3),WORKDAY(EOMONTH(R$4,0)+1,-3)&gt;=MAX(R$3,$E43),WORKDAY(EOMONTH(R$4,0)+1,-3)&lt;=IF($F43="",R$4,MIN(R$4,$F43)))*1),IF(AND(IF(EDATE($E43,MAX(0,ROUNDUP(((YEAR(R$3)-YEAR($E43))*12+MONTH(R$3)-MONTH($E43))/$G43,0)*$G43))&lt;R$3,EDATE($E43,MAX(0,ROUNDUP(((YEAR(R$3)-YEAR($E43))*12+MONTH(R$3)-MONTH($E43))/$G43,0)*$G43)+$G43),EDATE($E43,MAX(0,ROUNDUP(((YEAR(R$3)-YEAR($E43))*12+MONTH(R$3)-MONTH($E43))/$G43,0)*$G43)))&gt;=R$3,IF(EDATE($E43,MAX(0,ROUNDUP(((YEAR(R$3)-YEAR($E43))*12+MONTH(R$3)-MONTH($E43))/$G43,0)*$G43))&lt;R$3,EDATE($E43,MAX(0,ROUNDUP(((YEAR(R$3)-YEAR($E43))*12+MONTH(R$3)-MONTH($E43))/$G43,0)*$G43)+$G43),EDATE($E43,MAX(0,ROUNDUP(((YEAR(R$3)-YEAR($E43))*12+MONTH(R$3)-MONTH($E43))/$G43,0)*$G43)))&lt;=IF($F43="",R$4,MIN(R$4,$F43))),1,0)))))</f>
        <v>0</v>
      </c>
      <c r="S43" s="25" t="n">
        <f aca="false">IF(OR($C43="",$C43=0,$E43="",$B43="",$G43=-2),0,$C43*IF($G43=0,IF(IF($F43="",S$4,MIN(S$4,$F43))&lt;$E43,0,MAX(0,INT((IF($F43="",S$4,MIN(S$4,$F43))-$E43)/7)+1-MAX(0,ROUNDUP((S$3-$E43)/7,0)))),IF($G43=101,(AND(EOMONTH(S$3,0)&gt;=MAX(S$3,$E43),EOMONTH(S$3,0)&lt;=IF($F43="",S$4,MIN(S$4,$F43)))*1+AND(EOMONTH(S$4,0)&lt;&gt;EOMONTH(S$3,0),EOMONTH(S$4,0)&gt;=MAX(S$3,$E43),EOMONTH(S$4,0)&lt;=IF($F43="",S$4,MIN(S$4,$F43)))*1),IF($G43=102,(AND(WORKDAY(EOMONTH(S$3,0)+1,-3)&gt;=MAX(S$3,$E43),WORKDAY(EOMONTH(S$3,0)+1,-3)&lt;=IF($F43="",S$4,MIN(S$4,$F43)))*1+AND(WORKDAY(EOMONTH(S$4,0)+1,-3)&lt;&gt;WORKDAY(EOMONTH(S$3,0)+1,-3),WORKDAY(EOMONTH(S$4,0)+1,-3)&gt;=MAX(S$3,$E43),WORKDAY(EOMONTH(S$4,0)+1,-3)&lt;=IF($F43="",S$4,MIN(S$4,$F43)))*1),IF(AND(IF(EDATE($E43,MAX(0,ROUNDUP(((YEAR(S$3)-YEAR($E43))*12+MONTH(S$3)-MONTH($E43))/$G43,0)*$G43))&lt;S$3,EDATE($E43,MAX(0,ROUNDUP(((YEAR(S$3)-YEAR($E43))*12+MONTH(S$3)-MONTH($E43))/$G43,0)*$G43)+$G43),EDATE($E43,MAX(0,ROUNDUP(((YEAR(S$3)-YEAR($E43))*12+MONTH(S$3)-MONTH($E43))/$G43,0)*$G43)))&gt;=S$3,IF(EDATE($E43,MAX(0,ROUNDUP(((YEAR(S$3)-YEAR($E43))*12+MONTH(S$3)-MONTH($E43))/$G43,0)*$G43))&lt;S$3,EDATE($E43,MAX(0,ROUNDUP(((YEAR(S$3)-YEAR($E43))*12+MONTH(S$3)-MONTH($E43))/$G43,0)*$G43)+$G43),EDATE($E43,MAX(0,ROUNDUP(((YEAR(S$3)-YEAR($E43))*12+MONTH(S$3)-MONTH($E43))/$G43,0)*$G43)))&lt;=IF($F43="",S$4,MIN(S$4,$F43))),1,0)))))</f>
        <v>0</v>
      </c>
      <c r="T43" s="25" t="n">
        <f aca="false">IF(OR($C43="",$C43=0,$E43="",$B43="",$G43=-2),0,$C43*IF($G43=0,IF(IF($F43="",T$4,MIN(T$4,$F43))&lt;$E43,0,MAX(0,INT((IF($F43="",T$4,MIN(T$4,$F43))-$E43)/7)+1-MAX(0,ROUNDUP((T$3-$E43)/7,0)))),IF($G43=101,(AND(EOMONTH(T$3,0)&gt;=MAX(T$3,$E43),EOMONTH(T$3,0)&lt;=IF($F43="",T$4,MIN(T$4,$F43)))*1+AND(EOMONTH(T$4,0)&lt;&gt;EOMONTH(T$3,0),EOMONTH(T$4,0)&gt;=MAX(T$3,$E43),EOMONTH(T$4,0)&lt;=IF($F43="",T$4,MIN(T$4,$F43)))*1),IF($G43=102,(AND(WORKDAY(EOMONTH(T$3,0)+1,-3)&gt;=MAX(T$3,$E43),WORKDAY(EOMONTH(T$3,0)+1,-3)&lt;=IF($F43="",T$4,MIN(T$4,$F43)))*1+AND(WORKDAY(EOMONTH(T$4,0)+1,-3)&lt;&gt;WORKDAY(EOMONTH(T$3,0)+1,-3),WORKDAY(EOMONTH(T$4,0)+1,-3)&gt;=MAX(T$3,$E43),WORKDAY(EOMONTH(T$4,0)+1,-3)&lt;=IF($F43="",T$4,MIN(T$4,$F43)))*1),IF(AND(IF(EDATE($E43,MAX(0,ROUNDUP(((YEAR(T$3)-YEAR($E43))*12+MONTH(T$3)-MONTH($E43))/$G43,0)*$G43))&lt;T$3,EDATE($E43,MAX(0,ROUNDUP(((YEAR(T$3)-YEAR($E43))*12+MONTH(T$3)-MONTH($E43))/$G43,0)*$G43)+$G43),EDATE($E43,MAX(0,ROUNDUP(((YEAR(T$3)-YEAR($E43))*12+MONTH(T$3)-MONTH($E43))/$G43,0)*$G43)))&gt;=T$3,IF(EDATE($E43,MAX(0,ROUNDUP(((YEAR(T$3)-YEAR($E43))*12+MONTH(T$3)-MONTH($E43))/$G43,0)*$G43))&lt;T$3,EDATE($E43,MAX(0,ROUNDUP(((YEAR(T$3)-YEAR($E43))*12+MONTH(T$3)-MONTH($E43))/$G43,0)*$G43)+$G43),EDATE($E43,MAX(0,ROUNDUP(((YEAR(T$3)-YEAR($E43))*12+MONTH(T$3)-MONTH($E43))/$G43,0)*$G43)))&lt;=IF($F43="",T$4,MIN(T$4,$F43))),1,0)))))</f>
        <v>0</v>
      </c>
      <c r="U43" s="25" t="n">
        <f aca="false">IF(OR($C43="",$C43=0,$E43="",$B43="",$G43=-2),0,$C43*IF($G43=0,IF(IF($F43="",U$4,MIN(U$4,$F43))&lt;$E43,0,MAX(0,INT((IF($F43="",U$4,MIN(U$4,$F43))-$E43)/7)+1-MAX(0,ROUNDUP((U$3-$E43)/7,0)))),IF($G43=101,(AND(EOMONTH(U$3,0)&gt;=MAX(U$3,$E43),EOMONTH(U$3,0)&lt;=IF($F43="",U$4,MIN(U$4,$F43)))*1+AND(EOMONTH(U$4,0)&lt;&gt;EOMONTH(U$3,0),EOMONTH(U$4,0)&gt;=MAX(U$3,$E43),EOMONTH(U$4,0)&lt;=IF($F43="",U$4,MIN(U$4,$F43)))*1),IF($G43=102,(AND(WORKDAY(EOMONTH(U$3,0)+1,-3)&gt;=MAX(U$3,$E43),WORKDAY(EOMONTH(U$3,0)+1,-3)&lt;=IF($F43="",U$4,MIN(U$4,$F43)))*1+AND(WORKDAY(EOMONTH(U$4,0)+1,-3)&lt;&gt;WORKDAY(EOMONTH(U$3,0)+1,-3),WORKDAY(EOMONTH(U$4,0)+1,-3)&gt;=MAX(U$3,$E43),WORKDAY(EOMONTH(U$4,0)+1,-3)&lt;=IF($F43="",U$4,MIN(U$4,$F43)))*1),IF(AND(IF(EDATE($E43,MAX(0,ROUNDUP(((YEAR(U$3)-YEAR($E43))*12+MONTH(U$3)-MONTH($E43))/$G43,0)*$G43))&lt;U$3,EDATE($E43,MAX(0,ROUNDUP(((YEAR(U$3)-YEAR($E43))*12+MONTH(U$3)-MONTH($E43))/$G43,0)*$G43)+$G43),EDATE($E43,MAX(0,ROUNDUP(((YEAR(U$3)-YEAR($E43))*12+MONTH(U$3)-MONTH($E43))/$G43,0)*$G43)))&gt;=U$3,IF(EDATE($E43,MAX(0,ROUNDUP(((YEAR(U$3)-YEAR($E43))*12+MONTH(U$3)-MONTH($E43))/$G43,0)*$G43))&lt;U$3,EDATE($E43,MAX(0,ROUNDUP(((YEAR(U$3)-YEAR($E43))*12+MONTH(U$3)-MONTH($E43))/$G43,0)*$G43)+$G43),EDATE($E43,MAX(0,ROUNDUP(((YEAR(U$3)-YEAR($E43))*12+MONTH(U$3)-MONTH($E43))/$G43,0)*$G43)))&lt;=IF($F43="",U$4,MIN(U$4,$F43))),1,0)))))</f>
        <v>0</v>
      </c>
      <c r="V43" s="25" t="n">
        <f aca="false">IF(OR($C43="",$C43=0,$E43="",$B43="",$G43=-2),0,$C43*IF($G43=0,IF(IF($F43="",V$4,MIN(V$4,$F43))&lt;$E43,0,MAX(0,INT((IF($F43="",V$4,MIN(V$4,$F43))-$E43)/7)+1-MAX(0,ROUNDUP((V$3-$E43)/7,0)))),IF($G43=101,(AND(EOMONTH(V$3,0)&gt;=MAX(V$3,$E43),EOMONTH(V$3,0)&lt;=IF($F43="",V$4,MIN(V$4,$F43)))*1+AND(EOMONTH(V$4,0)&lt;&gt;EOMONTH(V$3,0),EOMONTH(V$4,0)&gt;=MAX(V$3,$E43),EOMONTH(V$4,0)&lt;=IF($F43="",V$4,MIN(V$4,$F43)))*1),IF($G43=102,(AND(WORKDAY(EOMONTH(V$3,0)+1,-3)&gt;=MAX(V$3,$E43),WORKDAY(EOMONTH(V$3,0)+1,-3)&lt;=IF($F43="",V$4,MIN(V$4,$F43)))*1+AND(WORKDAY(EOMONTH(V$4,0)+1,-3)&lt;&gt;WORKDAY(EOMONTH(V$3,0)+1,-3),WORKDAY(EOMONTH(V$4,0)+1,-3)&gt;=MAX(V$3,$E43),WORKDAY(EOMONTH(V$4,0)+1,-3)&lt;=IF($F43="",V$4,MIN(V$4,$F43)))*1),IF(AND(IF(EDATE($E43,MAX(0,ROUNDUP(((YEAR(V$3)-YEAR($E43))*12+MONTH(V$3)-MONTH($E43))/$G43,0)*$G43))&lt;V$3,EDATE($E43,MAX(0,ROUNDUP(((YEAR(V$3)-YEAR($E43))*12+MONTH(V$3)-MONTH($E43))/$G43,0)*$G43)+$G43),EDATE($E43,MAX(0,ROUNDUP(((YEAR(V$3)-YEAR($E43))*12+MONTH(V$3)-MONTH($E43))/$G43,0)*$G43)))&gt;=V$3,IF(EDATE($E43,MAX(0,ROUNDUP(((YEAR(V$3)-YEAR($E43))*12+MONTH(V$3)-MONTH($E43))/$G43,0)*$G43))&lt;V$3,EDATE($E43,MAX(0,ROUNDUP(((YEAR(V$3)-YEAR($E43))*12+MONTH(V$3)-MONTH($E43))/$G43,0)*$G43)+$G43),EDATE($E43,MAX(0,ROUNDUP(((YEAR(V$3)-YEAR($E43))*12+MONTH(V$3)-MONTH($E43))/$G43,0)*$G43)))&lt;=IF($F43="",V$4,MIN(V$4,$F43))),1,0)))))</f>
        <v>0</v>
      </c>
      <c r="W43" s="25" t="n">
        <f aca="false">IF(OR($C43="",$C43=0,$E43="",$B43="",$G43=-2),0,$C43*IF($G43=0,IF(IF($F43="",W$4,MIN(W$4,$F43))&lt;$E43,0,MAX(0,INT((IF($F43="",W$4,MIN(W$4,$F43))-$E43)/7)+1-MAX(0,ROUNDUP((W$3-$E43)/7,0)))),IF($G43=101,(AND(EOMONTH(W$3,0)&gt;=MAX(W$3,$E43),EOMONTH(W$3,0)&lt;=IF($F43="",W$4,MIN(W$4,$F43)))*1+AND(EOMONTH(W$4,0)&lt;&gt;EOMONTH(W$3,0),EOMONTH(W$4,0)&gt;=MAX(W$3,$E43),EOMONTH(W$4,0)&lt;=IF($F43="",W$4,MIN(W$4,$F43)))*1),IF($G43=102,(AND(WORKDAY(EOMONTH(W$3,0)+1,-3)&gt;=MAX(W$3,$E43),WORKDAY(EOMONTH(W$3,0)+1,-3)&lt;=IF($F43="",W$4,MIN(W$4,$F43)))*1+AND(WORKDAY(EOMONTH(W$4,0)+1,-3)&lt;&gt;WORKDAY(EOMONTH(W$3,0)+1,-3),WORKDAY(EOMONTH(W$4,0)+1,-3)&gt;=MAX(W$3,$E43),WORKDAY(EOMONTH(W$4,0)+1,-3)&lt;=IF($F43="",W$4,MIN(W$4,$F43)))*1),IF(AND(IF(EDATE($E43,MAX(0,ROUNDUP(((YEAR(W$3)-YEAR($E43))*12+MONTH(W$3)-MONTH($E43))/$G43,0)*$G43))&lt;W$3,EDATE($E43,MAX(0,ROUNDUP(((YEAR(W$3)-YEAR($E43))*12+MONTH(W$3)-MONTH($E43))/$G43,0)*$G43)+$G43),EDATE($E43,MAX(0,ROUNDUP(((YEAR(W$3)-YEAR($E43))*12+MONTH(W$3)-MONTH($E43))/$G43,0)*$G43)))&gt;=W$3,IF(EDATE($E43,MAX(0,ROUNDUP(((YEAR(W$3)-YEAR($E43))*12+MONTH(W$3)-MONTH($E43))/$G43,0)*$G43))&lt;W$3,EDATE($E43,MAX(0,ROUNDUP(((YEAR(W$3)-YEAR($E43))*12+MONTH(W$3)-MONTH($E43))/$G43,0)*$G43)+$G43),EDATE($E43,MAX(0,ROUNDUP(((YEAR(W$3)-YEAR($E43))*12+MONTH(W$3)-MONTH($E43))/$G43,0)*$G43)))&lt;=IF($F43="",W$4,MIN(W$4,$F43))),1,0)))))</f>
        <v>0</v>
      </c>
      <c r="X43" s="25" t="n">
        <f aca="false">IF(OR($C43="",$C43=0,$E43="",$B43="",$G43=-2),0,$C43*IF($G43=0,IF(IF($F43="",X$4,MIN(X$4,$F43))&lt;$E43,0,MAX(0,INT((IF($F43="",X$4,MIN(X$4,$F43))-$E43)/7)+1-MAX(0,ROUNDUP((X$3-$E43)/7,0)))),IF($G43=101,(AND(EOMONTH(X$3,0)&gt;=MAX(X$3,$E43),EOMONTH(X$3,0)&lt;=IF($F43="",X$4,MIN(X$4,$F43)))*1+AND(EOMONTH(X$4,0)&lt;&gt;EOMONTH(X$3,0),EOMONTH(X$4,0)&gt;=MAX(X$3,$E43),EOMONTH(X$4,0)&lt;=IF($F43="",X$4,MIN(X$4,$F43)))*1),IF($G43=102,(AND(WORKDAY(EOMONTH(X$3,0)+1,-3)&gt;=MAX(X$3,$E43),WORKDAY(EOMONTH(X$3,0)+1,-3)&lt;=IF($F43="",X$4,MIN(X$4,$F43)))*1+AND(WORKDAY(EOMONTH(X$4,0)+1,-3)&lt;&gt;WORKDAY(EOMONTH(X$3,0)+1,-3),WORKDAY(EOMONTH(X$4,0)+1,-3)&gt;=MAX(X$3,$E43),WORKDAY(EOMONTH(X$4,0)+1,-3)&lt;=IF($F43="",X$4,MIN(X$4,$F43)))*1),IF(AND(IF(EDATE($E43,MAX(0,ROUNDUP(((YEAR(X$3)-YEAR($E43))*12+MONTH(X$3)-MONTH($E43))/$G43,0)*$G43))&lt;X$3,EDATE($E43,MAX(0,ROUNDUP(((YEAR(X$3)-YEAR($E43))*12+MONTH(X$3)-MONTH($E43))/$G43,0)*$G43)+$G43),EDATE($E43,MAX(0,ROUNDUP(((YEAR(X$3)-YEAR($E43))*12+MONTH(X$3)-MONTH($E43))/$G43,0)*$G43)))&gt;=X$3,IF(EDATE($E43,MAX(0,ROUNDUP(((YEAR(X$3)-YEAR($E43))*12+MONTH(X$3)-MONTH($E43))/$G43,0)*$G43))&lt;X$3,EDATE($E43,MAX(0,ROUNDUP(((YEAR(X$3)-YEAR($E43))*12+MONTH(X$3)-MONTH($E43))/$G43,0)*$G43)+$G43),EDATE($E43,MAX(0,ROUNDUP(((YEAR(X$3)-YEAR($E43))*12+MONTH(X$3)-MONTH($E43))/$G43,0)*$G43)))&lt;=IF($F43="",X$4,MIN(X$4,$F43))),1,0)))))</f>
        <v>0</v>
      </c>
      <c r="Y43" s="25" t="n">
        <f aca="false">IF(OR($C43="",$C43=0,$E43="",$B43="",$G43=-2),0,$C43*IF($G43=0,IF(IF($F43="",Y$4,MIN(Y$4,$F43))&lt;$E43,0,MAX(0,INT((IF($F43="",Y$4,MIN(Y$4,$F43))-$E43)/7)+1-MAX(0,ROUNDUP((Y$3-$E43)/7,0)))),IF($G43=101,(AND(EOMONTH(Y$3,0)&gt;=MAX(Y$3,$E43),EOMONTH(Y$3,0)&lt;=IF($F43="",Y$4,MIN(Y$4,$F43)))*1+AND(EOMONTH(Y$4,0)&lt;&gt;EOMONTH(Y$3,0),EOMONTH(Y$4,0)&gt;=MAX(Y$3,$E43),EOMONTH(Y$4,0)&lt;=IF($F43="",Y$4,MIN(Y$4,$F43)))*1),IF($G43=102,(AND(WORKDAY(EOMONTH(Y$3,0)+1,-3)&gt;=MAX(Y$3,$E43),WORKDAY(EOMONTH(Y$3,0)+1,-3)&lt;=IF($F43="",Y$4,MIN(Y$4,$F43)))*1+AND(WORKDAY(EOMONTH(Y$4,0)+1,-3)&lt;&gt;WORKDAY(EOMONTH(Y$3,0)+1,-3),WORKDAY(EOMONTH(Y$4,0)+1,-3)&gt;=MAX(Y$3,$E43),WORKDAY(EOMONTH(Y$4,0)+1,-3)&lt;=IF($F43="",Y$4,MIN(Y$4,$F43)))*1),IF(AND(IF(EDATE($E43,MAX(0,ROUNDUP(((YEAR(Y$3)-YEAR($E43))*12+MONTH(Y$3)-MONTH($E43))/$G43,0)*$G43))&lt;Y$3,EDATE($E43,MAX(0,ROUNDUP(((YEAR(Y$3)-YEAR($E43))*12+MONTH(Y$3)-MONTH($E43))/$G43,0)*$G43)+$G43),EDATE($E43,MAX(0,ROUNDUP(((YEAR(Y$3)-YEAR($E43))*12+MONTH(Y$3)-MONTH($E43))/$G43,0)*$G43)))&gt;=Y$3,IF(EDATE($E43,MAX(0,ROUNDUP(((YEAR(Y$3)-YEAR($E43))*12+MONTH(Y$3)-MONTH($E43))/$G43,0)*$G43))&lt;Y$3,EDATE($E43,MAX(0,ROUNDUP(((YEAR(Y$3)-YEAR($E43))*12+MONTH(Y$3)-MONTH($E43))/$G43,0)*$G43)+$G43),EDATE($E43,MAX(0,ROUNDUP(((YEAR(Y$3)-YEAR($E43))*12+MONTH(Y$3)-MONTH($E43))/$G43,0)*$G43)))&lt;=IF($F43="",Y$4,MIN(Y$4,$F43))),1,0)))))</f>
        <v>0</v>
      </c>
      <c r="Z43" s="25" t="n">
        <f aca="false">IF(OR($C43="",$C43=0,$E43="",$B43="",$G43=-2),0,$C43*IF($G43=0,IF(IF($F43="",Z$4,MIN(Z$4,$F43))&lt;$E43,0,MAX(0,INT((IF($F43="",Z$4,MIN(Z$4,$F43))-$E43)/7)+1-MAX(0,ROUNDUP((Z$3-$E43)/7,0)))),IF($G43=101,(AND(EOMONTH(Z$3,0)&gt;=MAX(Z$3,$E43),EOMONTH(Z$3,0)&lt;=IF($F43="",Z$4,MIN(Z$4,$F43)))*1+AND(EOMONTH(Z$4,0)&lt;&gt;EOMONTH(Z$3,0),EOMONTH(Z$4,0)&gt;=MAX(Z$3,$E43),EOMONTH(Z$4,0)&lt;=IF($F43="",Z$4,MIN(Z$4,$F43)))*1),IF($G43=102,(AND(WORKDAY(EOMONTH(Z$3,0)+1,-3)&gt;=MAX(Z$3,$E43),WORKDAY(EOMONTH(Z$3,0)+1,-3)&lt;=IF($F43="",Z$4,MIN(Z$4,$F43)))*1+AND(WORKDAY(EOMONTH(Z$4,0)+1,-3)&lt;&gt;WORKDAY(EOMONTH(Z$3,0)+1,-3),WORKDAY(EOMONTH(Z$4,0)+1,-3)&gt;=MAX(Z$3,$E43),WORKDAY(EOMONTH(Z$4,0)+1,-3)&lt;=IF($F43="",Z$4,MIN(Z$4,$F43)))*1),IF(AND(IF(EDATE($E43,MAX(0,ROUNDUP(((YEAR(Z$3)-YEAR($E43))*12+MONTH(Z$3)-MONTH($E43))/$G43,0)*$G43))&lt;Z$3,EDATE($E43,MAX(0,ROUNDUP(((YEAR(Z$3)-YEAR($E43))*12+MONTH(Z$3)-MONTH($E43))/$G43,0)*$G43)+$G43),EDATE($E43,MAX(0,ROUNDUP(((YEAR(Z$3)-YEAR($E43))*12+MONTH(Z$3)-MONTH($E43))/$G43,0)*$G43)))&gt;=Z$3,IF(EDATE($E43,MAX(0,ROUNDUP(((YEAR(Z$3)-YEAR($E43))*12+MONTH(Z$3)-MONTH($E43))/$G43,0)*$G43))&lt;Z$3,EDATE($E43,MAX(0,ROUNDUP(((YEAR(Z$3)-YEAR($E43))*12+MONTH(Z$3)-MONTH($E43))/$G43,0)*$G43)+$G43),EDATE($E43,MAX(0,ROUNDUP(((YEAR(Z$3)-YEAR($E43))*12+MONTH(Z$3)-MONTH($E43))/$G43,0)*$G43)))&lt;=IF($F43="",Z$4,MIN(Z$4,$F43))),1,0)))))</f>
        <v>0</v>
      </c>
      <c r="AA43" s="25" t="n">
        <f aca="false">IF(OR($C43="",$C43=0,$E43="",$B43="",$G43=-2),0,$C43*IF($G43=0,IF(IF($F43="",AA$4,MIN(AA$4,$F43))&lt;$E43,0,MAX(0,INT((IF($F43="",AA$4,MIN(AA$4,$F43))-$E43)/7)+1-MAX(0,ROUNDUP((AA$3-$E43)/7,0)))),IF($G43=101,(AND(EOMONTH(AA$3,0)&gt;=MAX(AA$3,$E43),EOMONTH(AA$3,0)&lt;=IF($F43="",AA$4,MIN(AA$4,$F43)))*1+AND(EOMONTH(AA$4,0)&lt;&gt;EOMONTH(AA$3,0),EOMONTH(AA$4,0)&gt;=MAX(AA$3,$E43),EOMONTH(AA$4,0)&lt;=IF($F43="",AA$4,MIN(AA$4,$F43)))*1),IF($G43=102,(AND(WORKDAY(EOMONTH(AA$3,0)+1,-3)&gt;=MAX(AA$3,$E43),WORKDAY(EOMONTH(AA$3,0)+1,-3)&lt;=IF($F43="",AA$4,MIN(AA$4,$F43)))*1+AND(WORKDAY(EOMONTH(AA$4,0)+1,-3)&lt;&gt;WORKDAY(EOMONTH(AA$3,0)+1,-3),WORKDAY(EOMONTH(AA$4,0)+1,-3)&gt;=MAX(AA$3,$E43),WORKDAY(EOMONTH(AA$4,0)+1,-3)&lt;=IF($F43="",AA$4,MIN(AA$4,$F43)))*1),IF(AND(IF(EDATE($E43,MAX(0,ROUNDUP(((YEAR(AA$3)-YEAR($E43))*12+MONTH(AA$3)-MONTH($E43))/$G43,0)*$G43))&lt;AA$3,EDATE($E43,MAX(0,ROUNDUP(((YEAR(AA$3)-YEAR($E43))*12+MONTH(AA$3)-MONTH($E43))/$G43,0)*$G43)+$G43),EDATE($E43,MAX(0,ROUNDUP(((YEAR(AA$3)-YEAR($E43))*12+MONTH(AA$3)-MONTH($E43))/$G43,0)*$G43)))&gt;=AA$3,IF(EDATE($E43,MAX(0,ROUNDUP(((YEAR(AA$3)-YEAR($E43))*12+MONTH(AA$3)-MONTH($E43))/$G43,0)*$G43))&lt;AA$3,EDATE($E43,MAX(0,ROUNDUP(((YEAR(AA$3)-YEAR($E43))*12+MONTH(AA$3)-MONTH($E43))/$G43,0)*$G43)+$G43),EDATE($E43,MAX(0,ROUNDUP(((YEAR(AA$3)-YEAR($E43))*12+MONTH(AA$3)-MONTH($E43))/$G43,0)*$G43)))&lt;=IF($F43="",AA$4,MIN(AA$4,$F43))),1,0)))))</f>
        <v>0</v>
      </c>
      <c r="AB43" s="25" t="n">
        <f aca="false">IF(OR($C43="",$C43=0,$E43="",$B43="",$G43=-2),0,$C43*IF($G43=0,IF(IF($F43="",AB$4,MIN(AB$4,$F43))&lt;$E43,0,MAX(0,INT((IF($F43="",AB$4,MIN(AB$4,$F43))-$E43)/7)+1-MAX(0,ROUNDUP((AB$3-$E43)/7,0)))),IF($G43=101,(AND(EOMONTH(AB$3,0)&gt;=MAX(AB$3,$E43),EOMONTH(AB$3,0)&lt;=IF($F43="",AB$4,MIN(AB$4,$F43)))*1+AND(EOMONTH(AB$4,0)&lt;&gt;EOMONTH(AB$3,0),EOMONTH(AB$4,0)&gt;=MAX(AB$3,$E43),EOMONTH(AB$4,0)&lt;=IF($F43="",AB$4,MIN(AB$4,$F43)))*1),IF($G43=102,(AND(WORKDAY(EOMONTH(AB$3,0)+1,-3)&gt;=MAX(AB$3,$E43),WORKDAY(EOMONTH(AB$3,0)+1,-3)&lt;=IF($F43="",AB$4,MIN(AB$4,$F43)))*1+AND(WORKDAY(EOMONTH(AB$4,0)+1,-3)&lt;&gt;WORKDAY(EOMONTH(AB$3,0)+1,-3),WORKDAY(EOMONTH(AB$4,0)+1,-3)&gt;=MAX(AB$3,$E43),WORKDAY(EOMONTH(AB$4,0)+1,-3)&lt;=IF($F43="",AB$4,MIN(AB$4,$F43)))*1),IF(AND(IF(EDATE($E43,MAX(0,ROUNDUP(((YEAR(AB$3)-YEAR($E43))*12+MONTH(AB$3)-MONTH($E43))/$G43,0)*$G43))&lt;AB$3,EDATE($E43,MAX(0,ROUNDUP(((YEAR(AB$3)-YEAR($E43))*12+MONTH(AB$3)-MONTH($E43))/$G43,0)*$G43)+$G43),EDATE($E43,MAX(0,ROUNDUP(((YEAR(AB$3)-YEAR($E43))*12+MONTH(AB$3)-MONTH($E43))/$G43,0)*$G43)))&gt;=AB$3,IF(EDATE($E43,MAX(0,ROUNDUP(((YEAR(AB$3)-YEAR($E43))*12+MONTH(AB$3)-MONTH($E43))/$G43,0)*$G43))&lt;AB$3,EDATE($E43,MAX(0,ROUNDUP(((YEAR(AB$3)-YEAR($E43))*12+MONTH(AB$3)-MONTH($E43))/$G43,0)*$G43)+$G43),EDATE($E43,MAX(0,ROUNDUP(((YEAR(AB$3)-YEAR($E43))*12+MONTH(AB$3)-MONTH($E43))/$G43,0)*$G43)))&lt;=IF($F43="",AB$4,MIN(AB$4,$F43))),1,0)))))</f>
        <v>0</v>
      </c>
      <c r="AC43" s="25" t="n">
        <f aca="false">IF(OR($C43="",$C43=0,$E43="",$B43="",$G43=-2),0,$C43*IF($G43=0,IF(IF($F43="",AC$4,MIN(AC$4,$F43))&lt;$E43,0,MAX(0,INT((IF($F43="",AC$4,MIN(AC$4,$F43))-$E43)/7)+1-MAX(0,ROUNDUP((AC$3-$E43)/7,0)))),IF($G43=101,(AND(EOMONTH(AC$3,0)&gt;=MAX(AC$3,$E43),EOMONTH(AC$3,0)&lt;=IF($F43="",AC$4,MIN(AC$4,$F43)))*1+AND(EOMONTH(AC$4,0)&lt;&gt;EOMONTH(AC$3,0),EOMONTH(AC$4,0)&gt;=MAX(AC$3,$E43),EOMONTH(AC$4,0)&lt;=IF($F43="",AC$4,MIN(AC$4,$F43)))*1),IF($G43=102,(AND(WORKDAY(EOMONTH(AC$3,0)+1,-3)&gt;=MAX(AC$3,$E43),WORKDAY(EOMONTH(AC$3,0)+1,-3)&lt;=IF($F43="",AC$4,MIN(AC$4,$F43)))*1+AND(WORKDAY(EOMONTH(AC$4,0)+1,-3)&lt;&gt;WORKDAY(EOMONTH(AC$3,0)+1,-3),WORKDAY(EOMONTH(AC$4,0)+1,-3)&gt;=MAX(AC$3,$E43),WORKDAY(EOMONTH(AC$4,0)+1,-3)&lt;=IF($F43="",AC$4,MIN(AC$4,$F43)))*1),IF(AND(IF(EDATE($E43,MAX(0,ROUNDUP(((YEAR(AC$3)-YEAR($E43))*12+MONTH(AC$3)-MONTH($E43))/$G43,0)*$G43))&lt;AC$3,EDATE($E43,MAX(0,ROUNDUP(((YEAR(AC$3)-YEAR($E43))*12+MONTH(AC$3)-MONTH($E43))/$G43,0)*$G43)+$G43),EDATE($E43,MAX(0,ROUNDUP(((YEAR(AC$3)-YEAR($E43))*12+MONTH(AC$3)-MONTH($E43))/$G43,0)*$G43)))&gt;=AC$3,IF(EDATE($E43,MAX(0,ROUNDUP(((YEAR(AC$3)-YEAR($E43))*12+MONTH(AC$3)-MONTH($E43))/$G43,0)*$G43))&lt;AC$3,EDATE($E43,MAX(0,ROUNDUP(((YEAR(AC$3)-YEAR($E43))*12+MONTH(AC$3)-MONTH($E43))/$G43,0)*$G43)+$G43),EDATE($E43,MAX(0,ROUNDUP(((YEAR(AC$3)-YEAR($E43))*12+MONTH(AC$3)-MONTH($E43))/$G43,0)*$G43)))&lt;=IF($F43="",AC$4,MIN(AC$4,$F43))),1,0)))))</f>
        <v>0</v>
      </c>
      <c r="AD43" s="25" t="n">
        <f aca="false">IF(OR($C43="",$C43=0,$E43="",$B43="",$G43=-2),0,$C43*IF($G43=0,IF(IF($F43="",AD$4,MIN(AD$4,$F43))&lt;$E43,0,MAX(0,INT((IF($F43="",AD$4,MIN(AD$4,$F43))-$E43)/7)+1-MAX(0,ROUNDUP((AD$3-$E43)/7,0)))),IF($G43=101,(AND(EOMONTH(AD$3,0)&gt;=MAX(AD$3,$E43),EOMONTH(AD$3,0)&lt;=IF($F43="",AD$4,MIN(AD$4,$F43)))*1+AND(EOMONTH(AD$4,0)&lt;&gt;EOMONTH(AD$3,0),EOMONTH(AD$4,0)&gt;=MAX(AD$3,$E43),EOMONTH(AD$4,0)&lt;=IF($F43="",AD$4,MIN(AD$4,$F43)))*1),IF($G43=102,(AND(WORKDAY(EOMONTH(AD$3,0)+1,-3)&gt;=MAX(AD$3,$E43),WORKDAY(EOMONTH(AD$3,0)+1,-3)&lt;=IF($F43="",AD$4,MIN(AD$4,$F43)))*1+AND(WORKDAY(EOMONTH(AD$4,0)+1,-3)&lt;&gt;WORKDAY(EOMONTH(AD$3,0)+1,-3),WORKDAY(EOMONTH(AD$4,0)+1,-3)&gt;=MAX(AD$3,$E43),WORKDAY(EOMONTH(AD$4,0)+1,-3)&lt;=IF($F43="",AD$4,MIN(AD$4,$F43)))*1),IF(AND(IF(EDATE($E43,MAX(0,ROUNDUP(((YEAR(AD$3)-YEAR($E43))*12+MONTH(AD$3)-MONTH($E43))/$G43,0)*$G43))&lt;AD$3,EDATE($E43,MAX(0,ROUNDUP(((YEAR(AD$3)-YEAR($E43))*12+MONTH(AD$3)-MONTH($E43))/$G43,0)*$G43)+$G43),EDATE($E43,MAX(0,ROUNDUP(((YEAR(AD$3)-YEAR($E43))*12+MONTH(AD$3)-MONTH($E43))/$G43,0)*$G43)))&gt;=AD$3,IF(EDATE($E43,MAX(0,ROUNDUP(((YEAR(AD$3)-YEAR($E43))*12+MONTH(AD$3)-MONTH($E43))/$G43,0)*$G43))&lt;AD$3,EDATE($E43,MAX(0,ROUNDUP(((YEAR(AD$3)-YEAR($E43))*12+MONTH(AD$3)-MONTH($E43))/$G43,0)*$G43)+$G43),EDATE($E43,MAX(0,ROUNDUP(((YEAR(AD$3)-YEAR($E43))*12+MONTH(AD$3)-MONTH($E43))/$G43,0)*$G43)))&lt;=IF($F43="",AD$4,MIN(AD$4,$F43))),1,0)))))</f>
        <v>0</v>
      </c>
      <c r="AE43" s="25" t="n">
        <f aca="false">IF(OR($C43="",$C43=0,$E43="",$B43="",$G43=-2),0,$C43*IF($G43=0,IF(IF($F43="",AE$4,MIN(AE$4,$F43))&lt;$E43,0,MAX(0,INT((IF($F43="",AE$4,MIN(AE$4,$F43))-$E43)/7)+1-MAX(0,ROUNDUP((AE$3-$E43)/7,0)))),IF($G43=101,(AND(EOMONTH(AE$3,0)&gt;=MAX(AE$3,$E43),EOMONTH(AE$3,0)&lt;=IF($F43="",AE$4,MIN(AE$4,$F43)))*1+AND(EOMONTH(AE$4,0)&lt;&gt;EOMONTH(AE$3,0),EOMONTH(AE$4,0)&gt;=MAX(AE$3,$E43),EOMONTH(AE$4,0)&lt;=IF($F43="",AE$4,MIN(AE$4,$F43)))*1),IF($G43=102,(AND(WORKDAY(EOMONTH(AE$3,0)+1,-3)&gt;=MAX(AE$3,$E43),WORKDAY(EOMONTH(AE$3,0)+1,-3)&lt;=IF($F43="",AE$4,MIN(AE$4,$F43)))*1+AND(WORKDAY(EOMONTH(AE$4,0)+1,-3)&lt;&gt;WORKDAY(EOMONTH(AE$3,0)+1,-3),WORKDAY(EOMONTH(AE$4,0)+1,-3)&gt;=MAX(AE$3,$E43),WORKDAY(EOMONTH(AE$4,0)+1,-3)&lt;=IF($F43="",AE$4,MIN(AE$4,$F43)))*1),IF(AND(IF(EDATE($E43,MAX(0,ROUNDUP(((YEAR(AE$3)-YEAR($E43))*12+MONTH(AE$3)-MONTH($E43))/$G43,0)*$G43))&lt;AE$3,EDATE($E43,MAX(0,ROUNDUP(((YEAR(AE$3)-YEAR($E43))*12+MONTH(AE$3)-MONTH($E43))/$G43,0)*$G43)+$G43),EDATE($E43,MAX(0,ROUNDUP(((YEAR(AE$3)-YEAR($E43))*12+MONTH(AE$3)-MONTH($E43))/$G43,0)*$G43)))&gt;=AE$3,IF(EDATE($E43,MAX(0,ROUNDUP(((YEAR(AE$3)-YEAR($E43))*12+MONTH(AE$3)-MONTH($E43))/$G43,0)*$G43))&lt;AE$3,EDATE($E43,MAX(0,ROUNDUP(((YEAR(AE$3)-YEAR($E43))*12+MONTH(AE$3)-MONTH($E43))/$G43,0)*$G43)+$G43),EDATE($E43,MAX(0,ROUNDUP(((YEAR(AE$3)-YEAR($E43))*12+MONTH(AE$3)-MONTH($E43))/$G43,0)*$G43)))&lt;=IF($F43="",AE$4,MIN(AE$4,$F43))),1,0)))))</f>
        <v>0</v>
      </c>
      <c r="AF43" s="25" t="n">
        <f aca="false">IF(OR($C43="",$C43=0,$E43="",$B43="",$G43=-2),0,$C43*IF($G43=0,IF(IF($F43="",AF$4,MIN(AF$4,$F43))&lt;$E43,0,MAX(0,INT((IF($F43="",AF$4,MIN(AF$4,$F43))-$E43)/7)+1-MAX(0,ROUNDUP((AF$3-$E43)/7,0)))),IF($G43=101,(AND(EOMONTH(AF$3,0)&gt;=MAX(AF$3,$E43),EOMONTH(AF$3,0)&lt;=IF($F43="",AF$4,MIN(AF$4,$F43)))*1+AND(EOMONTH(AF$4,0)&lt;&gt;EOMONTH(AF$3,0),EOMONTH(AF$4,0)&gt;=MAX(AF$3,$E43),EOMONTH(AF$4,0)&lt;=IF($F43="",AF$4,MIN(AF$4,$F43)))*1),IF($G43=102,(AND(WORKDAY(EOMONTH(AF$3,0)+1,-3)&gt;=MAX(AF$3,$E43),WORKDAY(EOMONTH(AF$3,0)+1,-3)&lt;=IF($F43="",AF$4,MIN(AF$4,$F43)))*1+AND(WORKDAY(EOMONTH(AF$4,0)+1,-3)&lt;&gt;WORKDAY(EOMONTH(AF$3,0)+1,-3),WORKDAY(EOMONTH(AF$4,0)+1,-3)&gt;=MAX(AF$3,$E43),WORKDAY(EOMONTH(AF$4,0)+1,-3)&lt;=IF($F43="",AF$4,MIN(AF$4,$F43)))*1),IF(AND(IF(EDATE($E43,MAX(0,ROUNDUP(((YEAR(AF$3)-YEAR($E43))*12+MONTH(AF$3)-MONTH($E43))/$G43,0)*$G43))&lt;AF$3,EDATE($E43,MAX(0,ROUNDUP(((YEAR(AF$3)-YEAR($E43))*12+MONTH(AF$3)-MONTH($E43))/$G43,0)*$G43)+$G43),EDATE($E43,MAX(0,ROUNDUP(((YEAR(AF$3)-YEAR($E43))*12+MONTH(AF$3)-MONTH($E43))/$G43,0)*$G43)))&gt;=AF$3,IF(EDATE($E43,MAX(0,ROUNDUP(((YEAR(AF$3)-YEAR($E43))*12+MONTH(AF$3)-MONTH($E43))/$G43,0)*$G43))&lt;AF$3,EDATE($E43,MAX(0,ROUNDUP(((YEAR(AF$3)-YEAR($E43))*12+MONTH(AF$3)-MONTH($E43))/$G43,0)*$G43)+$G43),EDATE($E43,MAX(0,ROUNDUP(((YEAR(AF$3)-YEAR($E43))*12+MONTH(AF$3)-MONTH($E43))/$G43,0)*$G43)))&lt;=IF($F43="",AF$4,MIN(AF$4,$F43))),1,0)))))</f>
        <v>0</v>
      </c>
    </row>
    <row r="44" customFormat="false" ht="15" hidden="false" customHeight="false" outlineLevel="0" collapsed="false">
      <c r="A44" s="5"/>
      <c r="B44" s="5"/>
      <c r="C44" s="8"/>
      <c r="D44" s="5"/>
      <c r="E44" s="7"/>
      <c r="F44" s="7"/>
      <c r="G44" s="24" t="n">
        <f aca="false">IFERROR(INDEX(Listen!$E$2:$E$8,MATCH(D44,Listen!$D$2:$D$8,0)),-2)</f>
        <v>-2</v>
      </c>
      <c r="H44" s="25" t="n">
        <f aca="false">IF(OR($C44="",$C44=0,$E44="",$B44="",$G44=-2),0,$C44*IF($G44=0,IF(IF($F44="",H$4,MIN(H$4,$F44))&lt;$E44,0,MAX(0,INT((IF($F44="",H$4,MIN(H$4,$F44))-$E44)/7)+1-MAX(0,ROUNDUP((H$3-$E44)/7,0)))),IF($G44=101,(AND(EOMONTH(H$3,0)&gt;=MAX(H$3,$E44),EOMONTH(H$3,0)&lt;=IF($F44="",H$4,MIN(H$4,$F44)))*1+AND(EOMONTH(H$4,0)&lt;&gt;EOMONTH(H$3,0),EOMONTH(H$4,0)&gt;=MAX(H$3,$E44),EOMONTH(H$4,0)&lt;=IF($F44="",H$4,MIN(H$4,$F44)))*1),IF($G44=102,(AND(WORKDAY(EOMONTH(H$3,0)+1,-3)&gt;=MAX(H$3,$E44),WORKDAY(EOMONTH(H$3,0)+1,-3)&lt;=IF($F44="",H$4,MIN(H$4,$F44)))*1+AND(WORKDAY(EOMONTH(H$4,0)+1,-3)&lt;&gt;WORKDAY(EOMONTH(H$3,0)+1,-3),WORKDAY(EOMONTH(H$4,0)+1,-3)&gt;=MAX(H$3,$E44),WORKDAY(EOMONTH(H$4,0)+1,-3)&lt;=IF($F44="",H$4,MIN(H$4,$F44)))*1),IF(AND(IF(EDATE($E44,MAX(0,ROUNDUP(((YEAR(H$3)-YEAR($E44))*12+MONTH(H$3)-MONTH($E44))/$G44,0)*$G44))&lt;H$3,EDATE($E44,MAX(0,ROUNDUP(((YEAR(H$3)-YEAR($E44))*12+MONTH(H$3)-MONTH($E44))/$G44,0)*$G44)+$G44),EDATE($E44,MAX(0,ROUNDUP(((YEAR(H$3)-YEAR($E44))*12+MONTH(H$3)-MONTH($E44))/$G44,0)*$G44)))&gt;=H$3,IF(EDATE($E44,MAX(0,ROUNDUP(((YEAR(H$3)-YEAR($E44))*12+MONTH(H$3)-MONTH($E44))/$G44,0)*$G44))&lt;H$3,EDATE($E44,MAX(0,ROUNDUP(((YEAR(H$3)-YEAR($E44))*12+MONTH(H$3)-MONTH($E44))/$G44,0)*$G44)+$G44),EDATE($E44,MAX(0,ROUNDUP(((YEAR(H$3)-YEAR($E44))*12+MONTH(H$3)-MONTH($E44))/$G44,0)*$G44)))&lt;=IF($F44="",H$4,MIN(H$4,$F44))),1,0)))))</f>
        <v>0</v>
      </c>
      <c r="I44" s="25" t="n">
        <f aca="false">IF(OR($C44="",$C44=0,$E44="",$B44="",$G44=-2),0,$C44*IF($G44=0,IF(IF($F44="",I$4,MIN(I$4,$F44))&lt;$E44,0,MAX(0,INT((IF($F44="",I$4,MIN(I$4,$F44))-$E44)/7)+1-MAX(0,ROUNDUP((I$3-$E44)/7,0)))),IF($G44=101,(AND(EOMONTH(I$3,0)&gt;=MAX(I$3,$E44),EOMONTH(I$3,0)&lt;=IF($F44="",I$4,MIN(I$4,$F44)))*1+AND(EOMONTH(I$4,0)&lt;&gt;EOMONTH(I$3,0),EOMONTH(I$4,0)&gt;=MAX(I$3,$E44),EOMONTH(I$4,0)&lt;=IF($F44="",I$4,MIN(I$4,$F44)))*1),IF($G44=102,(AND(WORKDAY(EOMONTH(I$3,0)+1,-3)&gt;=MAX(I$3,$E44),WORKDAY(EOMONTH(I$3,0)+1,-3)&lt;=IF($F44="",I$4,MIN(I$4,$F44)))*1+AND(WORKDAY(EOMONTH(I$4,0)+1,-3)&lt;&gt;WORKDAY(EOMONTH(I$3,0)+1,-3),WORKDAY(EOMONTH(I$4,0)+1,-3)&gt;=MAX(I$3,$E44),WORKDAY(EOMONTH(I$4,0)+1,-3)&lt;=IF($F44="",I$4,MIN(I$4,$F44)))*1),IF(AND(IF(EDATE($E44,MAX(0,ROUNDUP(((YEAR(I$3)-YEAR($E44))*12+MONTH(I$3)-MONTH($E44))/$G44,0)*$G44))&lt;I$3,EDATE($E44,MAX(0,ROUNDUP(((YEAR(I$3)-YEAR($E44))*12+MONTH(I$3)-MONTH($E44))/$G44,0)*$G44)+$G44),EDATE($E44,MAX(0,ROUNDUP(((YEAR(I$3)-YEAR($E44))*12+MONTH(I$3)-MONTH($E44))/$G44,0)*$G44)))&gt;=I$3,IF(EDATE($E44,MAX(0,ROUNDUP(((YEAR(I$3)-YEAR($E44))*12+MONTH(I$3)-MONTH($E44))/$G44,0)*$G44))&lt;I$3,EDATE($E44,MAX(0,ROUNDUP(((YEAR(I$3)-YEAR($E44))*12+MONTH(I$3)-MONTH($E44))/$G44,0)*$G44)+$G44),EDATE($E44,MAX(0,ROUNDUP(((YEAR(I$3)-YEAR($E44))*12+MONTH(I$3)-MONTH($E44))/$G44,0)*$G44)))&lt;=IF($F44="",I$4,MIN(I$4,$F44))),1,0)))))</f>
        <v>0</v>
      </c>
      <c r="J44" s="25" t="n">
        <f aca="false">IF(OR($C44="",$C44=0,$E44="",$B44="",$G44=-2),0,$C44*IF($G44=0,IF(IF($F44="",J$4,MIN(J$4,$F44))&lt;$E44,0,MAX(0,INT((IF($F44="",J$4,MIN(J$4,$F44))-$E44)/7)+1-MAX(0,ROUNDUP((J$3-$E44)/7,0)))),IF($G44=101,(AND(EOMONTH(J$3,0)&gt;=MAX(J$3,$E44),EOMONTH(J$3,0)&lt;=IF($F44="",J$4,MIN(J$4,$F44)))*1+AND(EOMONTH(J$4,0)&lt;&gt;EOMONTH(J$3,0),EOMONTH(J$4,0)&gt;=MAX(J$3,$E44),EOMONTH(J$4,0)&lt;=IF($F44="",J$4,MIN(J$4,$F44)))*1),IF($G44=102,(AND(WORKDAY(EOMONTH(J$3,0)+1,-3)&gt;=MAX(J$3,$E44),WORKDAY(EOMONTH(J$3,0)+1,-3)&lt;=IF($F44="",J$4,MIN(J$4,$F44)))*1+AND(WORKDAY(EOMONTH(J$4,0)+1,-3)&lt;&gt;WORKDAY(EOMONTH(J$3,0)+1,-3),WORKDAY(EOMONTH(J$4,0)+1,-3)&gt;=MAX(J$3,$E44),WORKDAY(EOMONTH(J$4,0)+1,-3)&lt;=IF($F44="",J$4,MIN(J$4,$F44)))*1),IF(AND(IF(EDATE($E44,MAX(0,ROUNDUP(((YEAR(J$3)-YEAR($E44))*12+MONTH(J$3)-MONTH($E44))/$G44,0)*$G44))&lt;J$3,EDATE($E44,MAX(0,ROUNDUP(((YEAR(J$3)-YEAR($E44))*12+MONTH(J$3)-MONTH($E44))/$G44,0)*$G44)+$G44),EDATE($E44,MAX(0,ROUNDUP(((YEAR(J$3)-YEAR($E44))*12+MONTH(J$3)-MONTH($E44))/$G44,0)*$G44)))&gt;=J$3,IF(EDATE($E44,MAX(0,ROUNDUP(((YEAR(J$3)-YEAR($E44))*12+MONTH(J$3)-MONTH($E44))/$G44,0)*$G44))&lt;J$3,EDATE($E44,MAX(0,ROUNDUP(((YEAR(J$3)-YEAR($E44))*12+MONTH(J$3)-MONTH($E44))/$G44,0)*$G44)+$G44),EDATE($E44,MAX(0,ROUNDUP(((YEAR(J$3)-YEAR($E44))*12+MONTH(J$3)-MONTH($E44))/$G44,0)*$G44)))&lt;=IF($F44="",J$4,MIN(J$4,$F44))),1,0)))))</f>
        <v>0</v>
      </c>
      <c r="K44" s="25" t="n">
        <f aca="false">IF(OR($C44="",$C44=0,$E44="",$B44="",$G44=-2),0,$C44*IF($G44=0,IF(IF($F44="",K$4,MIN(K$4,$F44))&lt;$E44,0,MAX(0,INT((IF($F44="",K$4,MIN(K$4,$F44))-$E44)/7)+1-MAX(0,ROUNDUP((K$3-$E44)/7,0)))),IF($G44=101,(AND(EOMONTH(K$3,0)&gt;=MAX(K$3,$E44),EOMONTH(K$3,0)&lt;=IF($F44="",K$4,MIN(K$4,$F44)))*1+AND(EOMONTH(K$4,0)&lt;&gt;EOMONTH(K$3,0),EOMONTH(K$4,0)&gt;=MAX(K$3,$E44),EOMONTH(K$4,0)&lt;=IF($F44="",K$4,MIN(K$4,$F44)))*1),IF($G44=102,(AND(WORKDAY(EOMONTH(K$3,0)+1,-3)&gt;=MAX(K$3,$E44),WORKDAY(EOMONTH(K$3,0)+1,-3)&lt;=IF($F44="",K$4,MIN(K$4,$F44)))*1+AND(WORKDAY(EOMONTH(K$4,0)+1,-3)&lt;&gt;WORKDAY(EOMONTH(K$3,0)+1,-3),WORKDAY(EOMONTH(K$4,0)+1,-3)&gt;=MAX(K$3,$E44),WORKDAY(EOMONTH(K$4,0)+1,-3)&lt;=IF($F44="",K$4,MIN(K$4,$F44)))*1),IF(AND(IF(EDATE($E44,MAX(0,ROUNDUP(((YEAR(K$3)-YEAR($E44))*12+MONTH(K$3)-MONTH($E44))/$G44,0)*$G44))&lt;K$3,EDATE($E44,MAX(0,ROUNDUP(((YEAR(K$3)-YEAR($E44))*12+MONTH(K$3)-MONTH($E44))/$G44,0)*$G44)+$G44),EDATE($E44,MAX(0,ROUNDUP(((YEAR(K$3)-YEAR($E44))*12+MONTH(K$3)-MONTH($E44))/$G44,0)*$G44)))&gt;=K$3,IF(EDATE($E44,MAX(0,ROUNDUP(((YEAR(K$3)-YEAR($E44))*12+MONTH(K$3)-MONTH($E44))/$G44,0)*$G44))&lt;K$3,EDATE($E44,MAX(0,ROUNDUP(((YEAR(K$3)-YEAR($E44))*12+MONTH(K$3)-MONTH($E44))/$G44,0)*$G44)+$G44),EDATE($E44,MAX(0,ROUNDUP(((YEAR(K$3)-YEAR($E44))*12+MONTH(K$3)-MONTH($E44))/$G44,0)*$G44)))&lt;=IF($F44="",K$4,MIN(K$4,$F44))),1,0)))))</f>
        <v>0</v>
      </c>
      <c r="L44" s="25" t="n">
        <f aca="false">IF(OR($C44="",$C44=0,$E44="",$B44="",$G44=-2),0,$C44*IF($G44=0,IF(IF($F44="",L$4,MIN(L$4,$F44))&lt;$E44,0,MAX(0,INT((IF($F44="",L$4,MIN(L$4,$F44))-$E44)/7)+1-MAX(0,ROUNDUP((L$3-$E44)/7,0)))),IF($G44=101,(AND(EOMONTH(L$3,0)&gt;=MAX(L$3,$E44),EOMONTH(L$3,0)&lt;=IF($F44="",L$4,MIN(L$4,$F44)))*1+AND(EOMONTH(L$4,0)&lt;&gt;EOMONTH(L$3,0),EOMONTH(L$4,0)&gt;=MAX(L$3,$E44),EOMONTH(L$4,0)&lt;=IF($F44="",L$4,MIN(L$4,$F44)))*1),IF($G44=102,(AND(WORKDAY(EOMONTH(L$3,0)+1,-3)&gt;=MAX(L$3,$E44),WORKDAY(EOMONTH(L$3,0)+1,-3)&lt;=IF($F44="",L$4,MIN(L$4,$F44)))*1+AND(WORKDAY(EOMONTH(L$4,0)+1,-3)&lt;&gt;WORKDAY(EOMONTH(L$3,0)+1,-3),WORKDAY(EOMONTH(L$4,0)+1,-3)&gt;=MAX(L$3,$E44),WORKDAY(EOMONTH(L$4,0)+1,-3)&lt;=IF($F44="",L$4,MIN(L$4,$F44)))*1),IF(AND(IF(EDATE($E44,MAX(0,ROUNDUP(((YEAR(L$3)-YEAR($E44))*12+MONTH(L$3)-MONTH($E44))/$G44,0)*$G44))&lt;L$3,EDATE($E44,MAX(0,ROUNDUP(((YEAR(L$3)-YEAR($E44))*12+MONTH(L$3)-MONTH($E44))/$G44,0)*$G44)+$G44),EDATE($E44,MAX(0,ROUNDUP(((YEAR(L$3)-YEAR($E44))*12+MONTH(L$3)-MONTH($E44))/$G44,0)*$G44)))&gt;=L$3,IF(EDATE($E44,MAX(0,ROUNDUP(((YEAR(L$3)-YEAR($E44))*12+MONTH(L$3)-MONTH($E44))/$G44,0)*$G44))&lt;L$3,EDATE($E44,MAX(0,ROUNDUP(((YEAR(L$3)-YEAR($E44))*12+MONTH(L$3)-MONTH($E44))/$G44,0)*$G44)+$G44),EDATE($E44,MAX(0,ROUNDUP(((YEAR(L$3)-YEAR($E44))*12+MONTH(L$3)-MONTH($E44))/$G44,0)*$G44)))&lt;=IF($F44="",L$4,MIN(L$4,$F44))),1,0)))))</f>
        <v>0</v>
      </c>
      <c r="M44" s="25" t="n">
        <f aca="false">IF(OR($C44="",$C44=0,$E44="",$B44="",$G44=-2),0,$C44*IF($G44=0,IF(IF($F44="",M$4,MIN(M$4,$F44))&lt;$E44,0,MAX(0,INT((IF($F44="",M$4,MIN(M$4,$F44))-$E44)/7)+1-MAX(0,ROUNDUP((M$3-$E44)/7,0)))),IF($G44=101,(AND(EOMONTH(M$3,0)&gt;=MAX(M$3,$E44),EOMONTH(M$3,0)&lt;=IF($F44="",M$4,MIN(M$4,$F44)))*1+AND(EOMONTH(M$4,0)&lt;&gt;EOMONTH(M$3,0),EOMONTH(M$4,0)&gt;=MAX(M$3,$E44),EOMONTH(M$4,0)&lt;=IF($F44="",M$4,MIN(M$4,$F44)))*1),IF($G44=102,(AND(WORKDAY(EOMONTH(M$3,0)+1,-3)&gt;=MAX(M$3,$E44),WORKDAY(EOMONTH(M$3,0)+1,-3)&lt;=IF($F44="",M$4,MIN(M$4,$F44)))*1+AND(WORKDAY(EOMONTH(M$4,0)+1,-3)&lt;&gt;WORKDAY(EOMONTH(M$3,0)+1,-3),WORKDAY(EOMONTH(M$4,0)+1,-3)&gt;=MAX(M$3,$E44),WORKDAY(EOMONTH(M$4,0)+1,-3)&lt;=IF($F44="",M$4,MIN(M$4,$F44)))*1),IF(AND(IF(EDATE($E44,MAX(0,ROUNDUP(((YEAR(M$3)-YEAR($E44))*12+MONTH(M$3)-MONTH($E44))/$G44,0)*$G44))&lt;M$3,EDATE($E44,MAX(0,ROUNDUP(((YEAR(M$3)-YEAR($E44))*12+MONTH(M$3)-MONTH($E44))/$G44,0)*$G44)+$G44),EDATE($E44,MAX(0,ROUNDUP(((YEAR(M$3)-YEAR($E44))*12+MONTH(M$3)-MONTH($E44))/$G44,0)*$G44)))&gt;=M$3,IF(EDATE($E44,MAX(0,ROUNDUP(((YEAR(M$3)-YEAR($E44))*12+MONTH(M$3)-MONTH($E44))/$G44,0)*$G44))&lt;M$3,EDATE($E44,MAX(0,ROUNDUP(((YEAR(M$3)-YEAR($E44))*12+MONTH(M$3)-MONTH($E44))/$G44,0)*$G44)+$G44),EDATE($E44,MAX(0,ROUNDUP(((YEAR(M$3)-YEAR($E44))*12+MONTH(M$3)-MONTH($E44))/$G44,0)*$G44)))&lt;=IF($F44="",M$4,MIN(M$4,$F44))),1,0)))))</f>
        <v>0</v>
      </c>
      <c r="N44" s="25" t="n">
        <f aca="false">IF(OR($C44="",$C44=0,$E44="",$B44="",$G44=-2),0,$C44*IF($G44=0,IF(IF($F44="",N$4,MIN(N$4,$F44))&lt;$E44,0,MAX(0,INT((IF($F44="",N$4,MIN(N$4,$F44))-$E44)/7)+1-MAX(0,ROUNDUP((N$3-$E44)/7,0)))),IF($G44=101,(AND(EOMONTH(N$3,0)&gt;=MAX(N$3,$E44),EOMONTH(N$3,0)&lt;=IF($F44="",N$4,MIN(N$4,$F44)))*1+AND(EOMONTH(N$4,0)&lt;&gt;EOMONTH(N$3,0),EOMONTH(N$4,0)&gt;=MAX(N$3,$E44),EOMONTH(N$4,0)&lt;=IF($F44="",N$4,MIN(N$4,$F44)))*1),IF($G44=102,(AND(WORKDAY(EOMONTH(N$3,0)+1,-3)&gt;=MAX(N$3,$E44),WORKDAY(EOMONTH(N$3,0)+1,-3)&lt;=IF($F44="",N$4,MIN(N$4,$F44)))*1+AND(WORKDAY(EOMONTH(N$4,0)+1,-3)&lt;&gt;WORKDAY(EOMONTH(N$3,0)+1,-3),WORKDAY(EOMONTH(N$4,0)+1,-3)&gt;=MAX(N$3,$E44),WORKDAY(EOMONTH(N$4,0)+1,-3)&lt;=IF($F44="",N$4,MIN(N$4,$F44)))*1),IF(AND(IF(EDATE($E44,MAX(0,ROUNDUP(((YEAR(N$3)-YEAR($E44))*12+MONTH(N$3)-MONTH($E44))/$G44,0)*$G44))&lt;N$3,EDATE($E44,MAX(0,ROUNDUP(((YEAR(N$3)-YEAR($E44))*12+MONTH(N$3)-MONTH($E44))/$G44,0)*$G44)+$G44),EDATE($E44,MAX(0,ROUNDUP(((YEAR(N$3)-YEAR($E44))*12+MONTH(N$3)-MONTH($E44))/$G44,0)*$G44)))&gt;=N$3,IF(EDATE($E44,MAX(0,ROUNDUP(((YEAR(N$3)-YEAR($E44))*12+MONTH(N$3)-MONTH($E44))/$G44,0)*$G44))&lt;N$3,EDATE($E44,MAX(0,ROUNDUP(((YEAR(N$3)-YEAR($E44))*12+MONTH(N$3)-MONTH($E44))/$G44,0)*$G44)+$G44),EDATE($E44,MAX(0,ROUNDUP(((YEAR(N$3)-YEAR($E44))*12+MONTH(N$3)-MONTH($E44))/$G44,0)*$G44)))&lt;=IF($F44="",N$4,MIN(N$4,$F44))),1,0)))))</f>
        <v>0</v>
      </c>
      <c r="O44" s="25" t="n">
        <f aca="false">IF(OR($C44="",$C44=0,$E44="",$B44="",$G44=-2),0,$C44*IF($G44=0,IF(IF($F44="",O$4,MIN(O$4,$F44))&lt;$E44,0,MAX(0,INT((IF($F44="",O$4,MIN(O$4,$F44))-$E44)/7)+1-MAX(0,ROUNDUP((O$3-$E44)/7,0)))),IF($G44=101,(AND(EOMONTH(O$3,0)&gt;=MAX(O$3,$E44),EOMONTH(O$3,0)&lt;=IF($F44="",O$4,MIN(O$4,$F44)))*1+AND(EOMONTH(O$4,0)&lt;&gt;EOMONTH(O$3,0),EOMONTH(O$4,0)&gt;=MAX(O$3,$E44),EOMONTH(O$4,0)&lt;=IF($F44="",O$4,MIN(O$4,$F44)))*1),IF($G44=102,(AND(WORKDAY(EOMONTH(O$3,0)+1,-3)&gt;=MAX(O$3,$E44),WORKDAY(EOMONTH(O$3,0)+1,-3)&lt;=IF($F44="",O$4,MIN(O$4,$F44)))*1+AND(WORKDAY(EOMONTH(O$4,0)+1,-3)&lt;&gt;WORKDAY(EOMONTH(O$3,0)+1,-3),WORKDAY(EOMONTH(O$4,0)+1,-3)&gt;=MAX(O$3,$E44),WORKDAY(EOMONTH(O$4,0)+1,-3)&lt;=IF($F44="",O$4,MIN(O$4,$F44)))*1),IF(AND(IF(EDATE($E44,MAX(0,ROUNDUP(((YEAR(O$3)-YEAR($E44))*12+MONTH(O$3)-MONTH($E44))/$G44,0)*$G44))&lt;O$3,EDATE($E44,MAX(0,ROUNDUP(((YEAR(O$3)-YEAR($E44))*12+MONTH(O$3)-MONTH($E44))/$G44,0)*$G44)+$G44),EDATE($E44,MAX(0,ROUNDUP(((YEAR(O$3)-YEAR($E44))*12+MONTH(O$3)-MONTH($E44))/$G44,0)*$G44)))&gt;=O$3,IF(EDATE($E44,MAX(0,ROUNDUP(((YEAR(O$3)-YEAR($E44))*12+MONTH(O$3)-MONTH($E44))/$G44,0)*$G44))&lt;O$3,EDATE($E44,MAX(0,ROUNDUP(((YEAR(O$3)-YEAR($E44))*12+MONTH(O$3)-MONTH($E44))/$G44,0)*$G44)+$G44),EDATE($E44,MAX(0,ROUNDUP(((YEAR(O$3)-YEAR($E44))*12+MONTH(O$3)-MONTH($E44))/$G44,0)*$G44)))&lt;=IF($F44="",O$4,MIN(O$4,$F44))),1,0)))))</f>
        <v>0</v>
      </c>
      <c r="P44" s="25" t="n">
        <f aca="false">IF(OR($C44="",$C44=0,$E44="",$B44="",$G44=-2),0,$C44*IF($G44=0,IF(IF($F44="",P$4,MIN(P$4,$F44))&lt;$E44,0,MAX(0,INT((IF($F44="",P$4,MIN(P$4,$F44))-$E44)/7)+1-MAX(0,ROUNDUP((P$3-$E44)/7,0)))),IF($G44=101,(AND(EOMONTH(P$3,0)&gt;=MAX(P$3,$E44),EOMONTH(P$3,0)&lt;=IF($F44="",P$4,MIN(P$4,$F44)))*1+AND(EOMONTH(P$4,0)&lt;&gt;EOMONTH(P$3,0),EOMONTH(P$4,0)&gt;=MAX(P$3,$E44),EOMONTH(P$4,0)&lt;=IF($F44="",P$4,MIN(P$4,$F44)))*1),IF($G44=102,(AND(WORKDAY(EOMONTH(P$3,0)+1,-3)&gt;=MAX(P$3,$E44),WORKDAY(EOMONTH(P$3,0)+1,-3)&lt;=IF($F44="",P$4,MIN(P$4,$F44)))*1+AND(WORKDAY(EOMONTH(P$4,0)+1,-3)&lt;&gt;WORKDAY(EOMONTH(P$3,0)+1,-3),WORKDAY(EOMONTH(P$4,0)+1,-3)&gt;=MAX(P$3,$E44),WORKDAY(EOMONTH(P$4,0)+1,-3)&lt;=IF($F44="",P$4,MIN(P$4,$F44)))*1),IF(AND(IF(EDATE($E44,MAX(0,ROUNDUP(((YEAR(P$3)-YEAR($E44))*12+MONTH(P$3)-MONTH($E44))/$G44,0)*$G44))&lt;P$3,EDATE($E44,MAX(0,ROUNDUP(((YEAR(P$3)-YEAR($E44))*12+MONTH(P$3)-MONTH($E44))/$G44,0)*$G44)+$G44),EDATE($E44,MAX(0,ROUNDUP(((YEAR(P$3)-YEAR($E44))*12+MONTH(P$3)-MONTH($E44))/$G44,0)*$G44)))&gt;=P$3,IF(EDATE($E44,MAX(0,ROUNDUP(((YEAR(P$3)-YEAR($E44))*12+MONTH(P$3)-MONTH($E44))/$G44,0)*$G44))&lt;P$3,EDATE($E44,MAX(0,ROUNDUP(((YEAR(P$3)-YEAR($E44))*12+MONTH(P$3)-MONTH($E44))/$G44,0)*$G44)+$G44),EDATE($E44,MAX(0,ROUNDUP(((YEAR(P$3)-YEAR($E44))*12+MONTH(P$3)-MONTH($E44))/$G44,0)*$G44)))&lt;=IF($F44="",P$4,MIN(P$4,$F44))),1,0)))))</f>
        <v>0</v>
      </c>
      <c r="Q44" s="25" t="n">
        <f aca="false">IF(OR($C44="",$C44=0,$E44="",$B44="",$G44=-2),0,$C44*IF($G44=0,IF(IF($F44="",Q$4,MIN(Q$4,$F44))&lt;$E44,0,MAX(0,INT((IF($F44="",Q$4,MIN(Q$4,$F44))-$E44)/7)+1-MAX(0,ROUNDUP((Q$3-$E44)/7,0)))),IF($G44=101,(AND(EOMONTH(Q$3,0)&gt;=MAX(Q$3,$E44),EOMONTH(Q$3,0)&lt;=IF($F44="",Q$4,MIN(Q$4,$F44)))*1+AND(EOMONTH(Q$4,0)&lt;&gt;EOMONTH(Q$3,0),EOMONTH(Q$4,0)&gt;=MAX(Q$3,$E44),EOMONTH(Q$4,0)&lt;=IF($F44="",Q$4,MIN(Q$4,$F44)))*1),IF($G44=102,(AND(WORKDAY(EOMONTH(Q$3,0)+1,-3)&gt;=MAX(Q$3,$E44),WORKDAY(EOMONTH(Q$3,0)+1,-3)&lt;=IF($F44="",Q$4,MIN(Q$4,$F44)))*1+AND(WORKDAY(EOMONTH(Q$4,0)+1,-3)&lt;&gt;WORKDAY(EOMONTH(Q$3,0)+1,-3),WORKDAY(EOMONTH(Q$4,0)+1,-3)&gt;=MAX(Q$3,$E44),WORKDAY(EOMONTH(Q$4,0)+1,-3)&lt;=IF($F44="",Q$4,MIN(Q$4,$F44)))*1),IF(AND(IF(EDATE($E44,MAX(0,ROUNDUP(((YEAR(Q$3)-YEAR($E44))*12+MONTH(Q$3)-MONTH($E44))/$G44,0)*$G44))&lt;Q$3,EDATE($E44,MAX(0,ROUNDUP(((YEAR(Q$3)-YEAR($E44))*12+MONTH(Q$3)-MONTH($E44))/$G44,0)*$G44)+$G44),EDATE($E44,MAX(0,ROUNDUP(((YEAR(Q$3)-YEAR($E44))*12+MONTH(Q$3)-MONTH($E44))/$G44,0)*$G44)))&gt;=Q$3,IF(EDATE($E44,MAX(0,ROUNDUP(((YEAR(Q$3)-YEAR($E44))*12+MONTH(Q$3)-MONTH($E44))/$G44,0)*$G44))&lt;Q$3,EDATE($E44,MAX(0,ROUNDUP(((YEAR(Q$3)-YEAR($E44))*12+MONTH(Q$3)-MONTH($E44))/$G44,0)*$G44)+$G44),EDATE($E44,MAX(0,ROUNDUP(((YEAR(Q$3)-YEAR($E44))*12+MONTH(Q$3)-MONTH($E44))/$G44,0)*$G44)))&lt;=IF($F44="",Q$4,MIN(Q$4,$F44))),1,0)))))</f>
        <v>0</v>
      </c>
      <c r="R44" s="25" t="n">
        <f aca="false">IF(OR($C44="",$C44=0,$E44="",$B44="",$G44=-2),0,$C44*IF($G44=0,IF(IF($F44="",R$4,MIN(R$4,$F44))&lt;$E44,0,MAX(0,INT((IF($F44="",R$4,MIN(R$4,$F44))-$E44)/7)+1-MAX(0,ROUNDUP((R$3-$E44)/7,0)))),IF($G44=101,(AND(EOMONTH(R$3,0)&gt;=MAX(R$3,$E44),EOMONTH(R$3,0)&lt;=IF($F44="",R$4,MIN(R$4,$F44)))*1+AND(EOMONTH(R$4,0)&lt;&gt;EOMONTH(R$3,0),EOMONTH(R$4,0)&gt;=MAX(R$3,$E44),EOMONTH(R$4,0)&lt;=IF($F44="",R$4,MIN(R$4,$F44)))*1),IF($G44=102,(AND(WORKDAY(EOMONTH(R$3,0)+1,-3)&gt;=MAX(R$3,$E44),WORKDAY(EOMONTH(R$3,0)+1,-3)&lt;=IF($F44="",R$4,MIN(R$4,$F44)))*1+AND(WORKDAY(EOMONTH(R$4,0)+1,-3)&lt;&gt;WORKDAY(EOMONTH(R$3,0)+1,-3),WORKDAY(EOMONTH(R$4,0)+1,-3)&gt;=MAX(R$3,$E44),WORKDAY(EOMONTH(R$4,0)+1,-3)&lt;=IF($F44="",R$4,MIN(R$4,$F44)))*1),IF(AND(IF(EDATE($E44,MAX(0,ROUNDUP(((YEAR(R$3)-YEAR($E44))*12+MONTH(R$3)-MONTH($E44))/$G44,0)*$G44))&lt;R$3,EDATE($E44,MAX(0,ROUNDUP(((YEAR(R$3)-YEAR($E44))*12+MONTH(R$3)-MONTH($E44))/$G44,0)*$G44)+$G44),EDATE($E44,MAX(0,ROUNDUP(((YEAR(R$3)-YEAR($E44))*12+MONTH(R$3)-MONTH($E44))/$G44,0)*$G44)))&gt;=R$3,IF(EDATE($E44,MAX(0,ROUNDUP(((YEAR(R$3)-YEAR($E44))*12+MONTH(R$3)-MONTH($E44))/$G44,0)*$G44))&lt;R$3,EDATE($E44,MAX(0,ROUNDUP(((YEAR(R$3)-YEAR($E44))*12+MONTH(R$3)-MONTH($E44))/$G44,0)*$G44)+$G44),EDATE($E44,MAX(0,ROUNDUP(((YEAR(R$3)-YEAR($E44))*12+MONTH(R$3)-MONTH($E44))/$G44,0)*$G44)))&lt;=IF($F44="",R$4,MIN(R$4,$F44))),1,0)))))</f>
        <v>0</v>
      </c>
      <c r="S44" s="25" t="n">
        <f aca="false">IF(OR($C44="",$C44=0,$E44="",$B44="",$G44=-2),0,$C44*IF($G44=0,IF(IF($F44="",S$4,MIN(S$4,$F44))&lt;$E44,0,MAX(0,INT((IF($F44="",S$4,MIN(S$4,$F44))-$E44)/7)+1-MAX(0,ROUNDUP((S$3-$E44)/7,0)))),IF($G44=101,(AND(EOMONTH(S$3,0)&gt;=MAX(S$3,$E44),EOMONTH(S$3,0)&lt;=IF($F44="",S$4,MIN(S$4,$F44)))*1+AND(EOMONTH(S$4,0)&lt;&gt;EOMONTH(S$3,0),EOMONTH(S$4,0)&gt;=MAX(S$3,$E44),EOMONTH(S$4,0)&lt;=IF($F44="",S$4,MIN(S$4,$F44)))*1),IF($G44=102,(AND(WORKDAY(EOMONTH(S$3,0)+1,-3)&gt;=MAX(S$3,$E44),WORKDAY(EOMONTH(S$3,0)+1,-3)&lt;=IF($F44="",S$4,MIN(S$4,$F44)))*1+AND(WORKDAY(EOMONTH(S$4,0)+1,-3)&lt;&gt;WORKDAY(EOMONTH(S$3,0)+1,-3),WORKDAY(EOMONTH(S$4,0)+1,-3)&gt;=MAX(S$3,$E44),WORKDAY(EOMONTH(S$4,0)+1,-3)&lt;=IF($F44="",S$4,MIN(S$4,$F44)))*1),IF(AND(IF(EDATE($E44,MAX(0,ROUNDUP(((YEAR(S$3)-YEAR($E44))*12+MONTH(S$3)-MONTH($E44))/$G44,0)*$G44))&lt;S$3,EDATE($E44,MAX(0,ROUNDUP(((YEAR(S$3)-YEAR($E44))*12+MONTH(S$3)-MONTH($E44))/$G44,0)*$G44)+$G44),EDATE($E44,MAX(0,ROUNDUP(((YEAR(S$3)-YEAR($E44))*12+MONTH(S$3)-MONTH($E44))/$G44,0)*$G44)))&gt;=S$3,IF(EDATE($E44,MAX(0,ROUNDUP(((YEAR(S$3)-YEAR($E44))*12+MONTH(S$3)-MONTH($E44))/$G44,0)*$G44))&lt;S$3,EDATE($E44,MAX(0,ROUNDUP(((YEAR(S$3)-YEAR($E44))*12+MONTH(S$3)-MONTH($E44))/$G44,0)*$G44)+$G44),EDATE($E44,MAX(0,ROUNDUP(((YEAR(S$3)-YEAR($E44))*12+MONTH(S$3)-MONTH($E44))/$G44,0)*$G44)))&lt;=IF($F44="",S$4,MIN(S$4,$F44))),1,0)))))</f>
        <v>0</v>
      </c>
      <c r="T44" s="25" t="n">
        <f aca="false">IF(OR($C44="",$C44=0,$E44="",$B44="",$G44=-2),0,$C44*IF($G44=0,IF(IF($F44="",T$4,MIN(T$4,$F44))&lt;$E44,0,MAX(0,INT((IF($F44="",T$4,MIN(T$4,$F44))-$E44)/7)+1-MAX(0,ROUNDUP((T$3-$E44)/7,0)))),IF($G44=101,(AND(EOMONTH(T$3,0)&gt;=MAX(T$3,$E44),EOMONTH(T$3,0)&lt;=IF($F44="",T$4,MIN(T$4,$F44)))*1+AND(EOMONTH(T$4,0)&lt;&gt;EOMONTH(T$3,0),EOMONTH(T$4,0)&gt;=MAX(T$3,$E44),EOMONTH(T$4,0)&lt;=IF($F44="",T$4,MIN(T$4,$F44)))*1),IF($G44=102,(AND(WORKDAY(EOMONTH(T$3,0)+1,-3)&gt;=MAX(T$3,$E44),WORKDAY(EOMONTH(T$3,0)+1,-3)&lt;=IF($F44="",T$4,MIN(T$4,$F44)))*1+AND(WORKDAY(EOMONTH(T$4,0)+1,-3)&lt;&gt;WORKDAY(EOMONTH(T$3,0)+1,-3),WORKDAY(EOMONTH(T$4,0)+1,-3)&gt;=MAX(T$3,$E44),WORKDAY(EOMONTH(T$4,0)+1,-3)&lt;=IF($F44="",T$4,MIN(T$4,$F44)))*1),IF(AND(IF(EDATE($E44,MAX(0,ROUNDUP(((YEAR(T$3)-YEAR($E44))*12+MONTH(T$3)-MONTH($E44))/$G44,0)*$G44))&lt;T$3,EDATE($E44,MAX(0,ROUNDUP(((YEAR(T$3)-YEAR($E44))*12+MONTH(T$3)-MONTH($E44))/$G44,0)*$G44)+$G44),EDATE($E44,MAX(0,ROUNDUP(((YEAR(T$3)-YEAR($E44))*12+MONTH(T$3)-MONTH($E44))/$G44,0)*$G44)))&gt;=T$3,IF(EDATE($E44,MAX(0,ROUNDUP(((YEAR(T$3)-YEAR($E44))*12+MONTH(T$3)-MONTH($E44))/$G44,0)*$G44))&lt;T$3,EDATE($E44,MAX(0,ROUNDUP(((YEAR(T$3)-YEAR($E44))*12+MONTH(T$3)-MONTH($E44))/$G44,0)*$G44)+$G44),EDATE($E44,MAX(0,ROUNDUP(((YEAR(T$3)-YEAR($E44))*12+MONTH(T$3)-MONTH($E44))/$G44,0)*$G44)))&lt;=IF($F44="",T$4,MIN(T$4,$F44))),1,0)))))</f>
        <v>0</v>
      </c>
      <c r="U44" s="25" t="n">
        <f aca="false">IF(OR($C44="",$C44=0,$E44="",$B44="",$G44=-2),0,$C44*IF($G44=0,IF(IF($F44="",U$4,MIN(U$4,$F44))&lt;$E44,0,MAX(0,INT((IF($F44="",U$4,MIN(U$4,$F44))-$E44)/7)+1-MAX(0,ROUNDUP((U$3-$E44)/7,0)))),IF($G44=101,(AND(EOMONTH(U$3,0)&gt;=MAX(U$3,$E44),EOMONTH(U$3,0)&lt;=IF($F44="",U$4,MIN(U$4,$F44)))*1+AND(EOMONTH(U$4,0)&lt;&gt;EOMONTH(U$3,0),EOMONTH(U$4,0)&gt;=MAX(U$3,$E44),EOMONTH(U$4,0)&lt;=IF($F44="",U$4,MIN(U$4,$F44)))*1),IF($G44=102,(AND(WORKDAY(EOMONTH(U$3,0)+1,-3)&gt;=MAX(U$3,$E44),WORKDAY(EOMONTH(U$3,0)+1,-3)&lt;=IF($F44="",U$4,MIN(U$4,$F44)))*1+AND(WORKDAY(EOMONTH(U$4,0)+1,-3)&lt;&gt;WORKDAY(EOMONTH(U$3,0)+1,-3),WORKDAY(EOMONTH(U$4,0)+1,-3)&gt;=MAX(U$3,$E44),WORKDAY(EOMONTH(U$4,0)+1,-3)&lt;=IF($F44="",U$4,MIN(U$4,$F44)))*1),IF(AND(IF(EDATE($E44,MAX(0,ROUNDUP(((YEAR(U$3)-YEAR($E44))*12+MONTH(U$3)-MONTH($E44))/$G44,0)*$G44))&lt;U$3,EDATE($E44,MAX(0,ROUNDUP(((YEAR(U$3)-YEAR($E44))*12+MONTH(U$3)-MONTH($E44))/$G44,0)*$G44)+$G44),EDATE($E44,MAX(0,ROUNDUP(((YEAR(U$3)-YEAR($E44))*12+MONTH(U$3)-MONTH($E44))/$G44,0)*$G44)))&gt;=U$3,IF(EDATE($E44,MAX(0,ROUNDUP(((YEAR(U$3)-YEAR($E44))*12+MONTH(U$3)-MONTH($E44))/$G44,0)*$G44))&lt;U$3,EDATE($E44,MAX(0,ROUNDUP(((YEAR(U$3)-YEAR($E44))*12+MONTH(U$3)-MONTH($E44))/$G44,0)*$G44)+$G44),EDATE($E44,MAX(0,ROUNDUP(((YEAR(U$3)-YEAR($E44))*12+MONTH(U$3)-MONTH($E44))/$G44,0)*$G44)))&lt;=IF($F44="",U$4,MIN(U$4,$F44))),1,0)))))</f>
        <v>0</v>
      </c>
      <c r="V44" s="25" t="n">
        <f aca="false">IF(OR($C44="",$C44=0,$E44="",$B44="",$G44=-2),0,$C44*IF($G44=0,IF(IF($F44="",V$4,MIN(V$4,$F44))&lt;$E44,0,MAX(0,INT((IF($F44="",V$4,MIN(V$4,$F44))-$E44)/7)+1-MAX(0,ROUNDUP((V$3-$E44)/7,0)))),IF($G44=101,(AND(EOMONTH(V$3,0)&gt;=MAX(V$3,$E44),EOMONTH(V$3,0)&lt;=IF($F44="",V$4,MIN(V$4,$F44)))*1+AND(EOMONTH(V$4,0)&lt;&gt;EOMONTH(V$3,0),EOMONTH(V$4,0)&gt;=MAX(V$3,$E44),EOMONTH(V$4,0)&lt;=IF($F44="",V$4,MIN(V$4,$F44)))*1),IF($G44=102,(AND(WORKDAY(EOMONTH(V$3,0)+1,-3)&gt;=MAX(V$3,$E44),WORKDAY(EOMONTH(V$3,0)+1,-3)&lt;=IF($F44="",V$4,MIN(V$4,$F44)))*1+AND(WORKDAY(EOMONTH(V$4,0)+1,-3)&lt;&gt;WORKDAY(EOMONTH(V$3,0)+1,-3),WORKDAY(EOMONTH(V$4,0)+1,-3)&gt;=MAX(V$3,$E44),WORKDAY(EOMONTH(V$4,0)+1,-3)&lt;=IF($F44="",V$4,MIN(V$4,$F44)))*1),IF(AND(IF(EDATE($E44,MAX(0,ROUNDUP(((YEAR(V$3)-YEAR($E44))*12+MONTH(V$3)-MONTH($E44))/$G44,0)*$G44))&lt;V$3,EDATE($E44,MAX(0,ROUNDUP(((YEAR(V$3)-YEAR($E44))*12+MONTH(V$3)-MONTH($E44))/$G44,0)*$G44)+$G44),EDATE($E44,MAX(0,ROUNDUP(((YEAR(V$3)-YEAR($E44))*12+MONTH(V$3)-MONTH($E44))/$G44,0)*$G44)))&gt;=V$3,IF(EDATE($E44,MAX(0,ROUNDUP(((YEAR(V$3)-YEAR($E44))*12+MONTH(V$3)-MONTH($E44))/$G44,0)*$G44))&lt;V$3,EDATE($E44,MAX(0,ROUNDUP(((YEAR(V$3)-YEAR($E44))*12+MONTH(V$3)-MONTH($E44))/$G44,0)*$G44)+$G44),EDATE($E44,MAX(0,ROUNDUP(((YEAR(V$3)-YEAR($E44))*12+MONTH(V$3)-MONTH($E44))/$G44,0)*$G44)))&lt;=IF($F44="",V$4,MIN(V$4,$F44))),1,0)))))</f>
        <v>0</v>
      </c>
      <c r="W44" s="25" t="n">
        <f aca="false">IF(OR($C44="",$C44=0,$E44="",$B44="",$G44=-2),0,$C44*IF($G44=0,IF(IF($F44="",W$4,MIN(W$4,$F44))&lt;$E44,0,MAX(0,INT((IF($F44="",W$4,MIN(W$4,$F44))-$E44)/7)+1-MAX(0,ROUNDUP((W$3-$E44)/7,0)))),IF($G44=101,(AND(EOMONTH(W$3,0)&gt;=MAX(W$3,$E44),EOMONTH(W$3,0)&lt;=IF($F44="",W$4,MIN(W$4,$F44)))*1+AND(EOMONTH(W$4,0)&lt;&gt;EOMONTH(W$3,0),EOMONTH(W$4,0)&gt;=MAX(W$3,$E44),EOMONTH(W$4,0)&lt;=IF($F44="",W$4,MIN(W$4,$F44)))*1),IF($G44=102,(AND(WORKDAY(EOMONTH(W$3,0)+1,-3)&gt;=MAX(W$3,$E44),WORKDAY(EOMONTH(W$3,0)+1,-3)&lt;=IF($F44="",W$4,MIN(W$4,$F44)))*1+AND(WORKDAY(EOMONTH(W$4,0)+1,-3)&lt;&gt;WORKDAY(EOMONTH(W$3,0)+1,-3),WORKDAY(EOMONTH(W$4,0)+1,-3)&gt;=MAX(W$3,$E44),WORKDAY(EOMONTH(W$4,0)+1,-3)&lt;=IF($F44="",W$4,MIN(W$4,$F44)))*1),IF(AND(IF(EDATE($E44,MAX(0,ROUNDUP(((YEAR(W$3)-YEAR($E44))*12+MONTH(W$3)-MONTH($E44))/$G44,0)*$G44))&lt;W$3,EDATE($E44,MAX(0,ROUNDUP(((YEAR(W$3)-YEAR($E44))*12+MONTH(W$3)-MONTH($E44))/$G44,0)*$G44)+$G44),EDATE($E44,MAX(0,ROUNDUP(((YEAR(W$3)-YEAR($E44))*12+MONTH(W$3)-MONTH($E44))/$G44,0)*$G44)))&gt;=W$3,IF(EDATE($E44,MAX(0,ROUNDUP(((YEAR(W$3)-YEAR($E44))*12+MONTH(W$3)-MONTH($E44))/$G44,0)*$G44))&lt;W$3,EDATE($E44,MAX(0,ROUNDUP(((YEAR(W$3)-YEAR($E44))*12+MONTH(W$3)-MONTH($E44))/$G44,0)*$G44)+$G44),EDATE($E44,MAX(0,ROUNDUP(((YEAR(W$3)-YEAR($E44))*12+MONTH(W$3)-MONTH($E44))/$G44,0)*$G44)))&lt;=IF($F44="",W$4,MIN(W$4,$F44))),1,0)))))</f>
        <v>0</v>
      </c>
      <c r="X44" s="25" t="n">
        <f aca="false">IF(OR($C44="",$C44=0,$E44="",$B44="",$G44=-2),0,$C44*IF($G44=0,IF(IF($F44="",X$4,MIN(X$4,$F44))&lt;$E44,0,MAX(0,INT((IF($F44="",X$4,MIN(X$4,$F44))-$E44)/7)+1-MAX(0,ROUNDUP((X$3-$E44)/7,0)))),IF($G44=101,(AND(EOMONTH(X$3,0)&gt;=MAX(X$3,$E44),EOMONTH(X$3,0)&lt;=IF($F44="",X$4,MIN(X$4,$F44)))*1+AND(EOMONTH(X$4,0)&lt;&gt;EOMONTH(X$3,0),EOMONTH(X$4,0)&gt;=MAX(X$3,$E44),EOMONTH(X$4,0)&lt;=IF($F44="",X$4,MIN(X$4,$F44)))*1),IF($G44=102,(AND(WORKDAY(EOMONTH(X$3,0)+1,-3)&gt;=MAX(X$3,$E44),WORKDAY(EOMONTH(X$3,0)+1,-3)&lt;=IF($F44="",X$4,MIN(X$4,$F44)))*1+AND(WORKDAY(EOMONTH(X$4,0)+1,-3)&lt;&gt;WORKDAY(EOMONTH(X$3,0)+1,-3),WORKDAY(EOMONTH(X$4,0)+1,-3)&gt;=MAX(X$3,$E44),WORKDAY(EOMONTH(X$4,0)+1,-3)&lt;=IF($F44="",X$4,MIN(X$4,$F44)))*1),IF(AND(IF(EDATE($E44,MAX(0,ROUNDUP(((YEAR(X$3)-YEAR($E44))*12+MONTH(X$3)-MONTH($E44))/$G44,0)*$G44))&lt;X$3,EDATE($E44,MAX(0,ROUNDUP(((YEAR(X$3)-YEAR($E44))*12+MONTH(X$3)-MONTH($E44))/$G44,0)*$G44)+$G44),EDATE($E44,MAX(0,ROUNDUP(((YEAR(X$3)-YEAR($E44))*12+MONTH(X$3)-MONTH($E44))/$G44,0)*$G44)))&gt;=X$3,IF(EDATE($E44,MAX(0,ROUNDUP(((YEAR(X$3)-YEAR($E44))*12+MONTH(X$3)-MONTH($E44))/$G44,0)*$G44))&lt;X$3,EDATE($E44,MAX(0,ROUNDUP(((YEAR(X$3)-YEAR($E44))*12+MONTH(X$3)-MONTH($E44))/$G44,0)*$G44)+$G44),EDATE($E44,MAX(0,ROUNDUP(((YEAR(X$3)-YEAR($E44))*12+MONTH(X$3)-MONTH($E44))/$G44,0)*$G44)))&lt;=IF($F44="",X$4,MIN(X$4,$F44))),1,0)))))</f>
        <v>0</v>
      </c>
      <c r="Y44" s="25" t="n">
        <f aca="false">IF(OR($C44="",$C44=0,$E44="",$B44="",$G44=-2),0,$C44*IF($G44=0,IF(IF($F44="",Y$4,MIN(Y$4,$F44))&lt;$E44,0,MAX(0,INT((IF($F44="",Y$4,MIN(Y$4,$F44))-$E44)/7)+1-MAX(0,ROUNDUP((Y$3-$E44)/7,0)))),IF($G44=101,(AND(EOMONTH(Y$3,0)&gt;=MAX(Y$3,$E44),EOMONTH(Y$3,0)&lt;=IF($F44="",Y$4,MIN(Y$4,$F44)))*1+AND(EOMONTH(Y$4,0)&lt;&gt;EOMONTH(Y$3,0),EOMONTH(Y$4,0)&gt;=MAX(Y$3,$E44),EOMONTH(Y$4,0)&lt;=IF($F44="",Y$4,MIN(Y$4,$F44)))*1),IF($G44=102,(AND(WORKDAY(EOMONTH(Y$3,0)+1,-3)&gt;=MAX(Y$3,$E44),WORKDAY(EOMONTH(Y$3,0)+1,-3)&lt;=IF($F44="",Y$4,MIN(Y$4,$F44)))*1+AND(WORKDAY(EOMONTH(Y$4,0)+1,-3)&lt;&gt;WORKDAY(EOMONTH(Y$3,0)+1,-3),WORKDAY(EOMONTH(Y$4,0)+1,-3)&gt;=MAX(Y$3,$E44),WORKDAY(EOMONTH(Y$4,0)+1,-3)&lt;=IF($F44="",Y$4,MIN(Y$4,$F44)))*1),IF(AND(IF(EDATE($E44,MAX(0,ROUNDUP(((YEAR(Y$3)-YEAR($E44))*12+MONTH(Y$3)-MONTH($E44))/$G44,0)*$G44))&lt;Y$3,EDATE($E44,MAX(0,ROUNDUP(((YEAR(Y$3)-YEAR($E44))*12+MONTH(Y$3)-MONTH($E44))/$G44,0)*$G44)+$G44),EDATE($E44,MAX(0,ROUNDUP(((YEAR(Y$3)-YEAR($E44))*12+MONTH(Y$3)-MONTH($E44))/$G44,0)*$G44)))&gt;=Y$3,IF(EDATE($E44,MAX(0,ROUNDUP(((YEAR(Y$3)-YEAR($E44))*12+MONTH(Y$3)-MONTH($E44))/$G44,0)*$G44))&lt;Y$3,EDATE($E44,MAX(0,ROUNDUP(((YEAR(Y$3)-YEAR($E44))*12+MONTH(Y$3)-MONTH($E44))/$G44,0)*$G44)+$G44),EDATE($E44,MAX(0,ROUNDUP(((YEAR(Y$3)-YEAR($E44))*12+MONTH(Y$3)-MONTH($E44))/$G44,0)*$G44)))&lt;=IF($F44="",Y$4,MIN(Y$4,$F44))),1,0)))))</f>
        <v>0</v>
      </c>
      <c r="Z44" s="25" t="n">
        <f aca="false">IF(OR($C44="",$C44=0,$E44="",$B44="",$G44=-2),0,$C44*IF($G44=0,IF(IF($F44="",Z$4,MIN(Z$4,$F44))&lt;$E44,0,MAX(0,INT((IF($F44="",Z$4,MIN(Z$4,$F44))-$E44)/7)+1-MAX(0,ROUNDUP((Z$3-$E44)/7,0)))),IF($G44=101,(AND(EOMONTH(Z$3,0)&gt;=MAX(Z$3,$E44),EOMONTH(Z$3,0)&lt;=IF($F44="",Z$4,MIN(Z$4,$F44)))*1+AND(EOMONTH(Z$4,0)&lt;&gt;EOMONTH(Z$3,0),EOMONTH(Z$4,0)&gt;=MAX(Z$3,$E44),EOMONTH(Z$4,0)&lt;=IF($F44="",Z$4,MIN(Z$4,$F44)))*1),IF($G44=102,(AND(WORKDAY(EOMONTH(Z$3,0)+1,-3)&gt;=MAX(Z$3,$E44),WORKDAY(EOMONTH(Z$3,0)+1,-3)&lt;=IF($F44="",Z$4,MIN(Z$4,$F44)))*1+AND(WORKDAY(EOMONTH(Z$4,0)+1,-3)&lt;&gt;WORKDAY(EOMONTH(Z$3,0)+1,-3),WORKDAY(EOMONTH(Z$4,0)+1,-3)&gt;=MAX(Z$3,$E44),WORKDAY(EOMONTH(Z$4,0)+1,-3)&lt;=IF($F44="",Z$4,MIN(Z$4,$F44)))*1),IF(AND(IF(EDATE($E44,MAX(0,ROUNDUP(((YEAR(Z$3)-YEAR($E44))*12+MONTH(Z$3)-MONTH($E44))/$G44,0)*$G44))&lt;Z$3,EDATE($E44,MAX(0,ROUNDUP(((YEAR(Z$3)-YEAR($E44))*12+MONTH(Z$3)-MONTH($E44))/$G44,0)*$G44)+$G44),EDATE($E44,MAX(0,ROUNDUP(((YEAR(Z$3)-YEAR($E44))*12+MONTH(Z$3)-MONTH($E44))/$G44,0)*$G44)))&gt;=Z$3,IF(EDATE($E44,MAX(0,ROUNDUP(((YEAR(Z$3)-YEAR($E44))*12+MONTH(Z$3)-MONTH($E44))/$G44,0)*$G44))&lt;Z$3,EDATE($E44,MAX(0,ROUNDUP(((YEAR(Z$3)-YEAR($E44))*12+MONTH(Z$3)-MONTH($E44))/$G44,0)*$G44)+$G44),EDATE($E44,MAX(0,ROUNDUP(((YEAR(Z$3)-YEAR($E44))*12+MONTH(Z$3)-MONTH($E44))/$G44,0)*$G44)))&lt;=IF($F44="",Z$4,MIN(Z$4,$F44))),1,0)))))</f>
        <v>0</v>
      </c>
      <c r="AA44" s="25" t="n">
        <f aca="false">IF(OR($C44="",$C44=0,$E44="",$B44="",$G44=-2),0,$C44*IF($G44=0,IF(IF($F44="",AA$4,MIN(AA$4,$F44))&lt;$E44,0,MAX(0,INT((IF($F44="",AA$4,MIN(AA$4,$F44))-$E44)/7)+1-MAX(0,ROUNDUP((AA$3-$E44)/7,0)))),IF($G44=101,(AND(EOMONTH(AA$3,0)&gt;=MAX(AA$3,$E44),EOMONTH(AA$3,0)&lt;=IF($F44="",AA$4,MIN(AA$4,$F44)))*1+AND(EOMONTH(AA$4,0)&lt;&gt;EOMONTH(AA$3,0),EOMONTH(AA$4,0)&gt;=MAX(AA$3,$E44),EOMONTH(AA$4,0)&lt;=IF($F44="",AA$4,MIN(AA$4,$F44)))*1),IF($G44=102,(AND(WORKDAY(EOMONTH(AA$3,0)+1,-3)&gt;=MAX(AA$3,$E44),WORKDAY(EOMONTH(AA$3,0)+1,-3)&lt;=IF($F44="",AA$4,MIN(AA$4,$F44)))*1+AND(WORKDAY(EOMONTH(AA$4,0)+1,-3)&lt;&gt;WORKDAY(EOMONTH(AA$3,0)+1,-3),WORKDAY(EOMONTH(AA$4,0)+1,-3)&gt;=MAX(AA$3,$E44),WORKDAY(EOMONTH(AA$4,0)+1,-3)&lt;=IF($F44="",AA$4,MIN(AA$4,$F44)))*1),IF(AND(IF(EDATE($E44,MAX(0,ROUNDUP(((YEAR(AA$3)-YEAR($E44))*12+MONTH(AA$3)-MONTH($E44))/$G44,0)*$G44))&lt;AA$3,EDATE($E44,MAX(0,ROUNDUP(((YEAR(AA$3)-YEAR($E44))*12+MONTH(AA$3)-MONTH($E44))/$G44,0)*$G44)+$G44),EDATE($E44,MAX(0,ROUNDUP(((YEAR(AA$3)-YEAR($E44))*12+MONTH(AA$3)-MONTH($E44))/$G44,0)*$G44)))&gt;=AA$3,IF(EDATE($E44,MAX(0,ROUNDUP(((YEAR(AA$3)-YEAR($E44))*12+MONTH(AA$3)-MONTH($E44))/$G44,0)*$G44))&lt;AA$3,EDATE($E44,MAX(0,ROUNDUP(((YEAR(AA$3)-YEAR($E44))*12+MONTH(AA$3)-MONTH($E44))/$G44,0)*$G44)+$G44),EDATE($E44,MAX(0,ROUNDUP(((YEAR(AA$3)-YEAR($E44))*12+MONTH(AA$3)-MONTH($E44))/$G44,0)*$G44)))&lt;=IF($F44="",AA$4,MIN(AA$4,$F44))),1,0)))))</f>
        <v>0</v>
      </c>
      <c r="AB44" s="25" t="n">
        <f aca="false">IF(OR($C44="",$C44=0,$E44="",$B44="",$G44=-2),0,$C44*IF($G44=0,IF(IF($F44="",AB$4,MIN(AB$4,$F44))&lt;$E44,0,MAX(0,INT((IF($F44="",AB$4,MIN(AB$4,$F44))-$E44)/7)+1-MAX(0,ROUNDUP((AB$3-$E44)/7,0)))),IF($G44=101,(AND(EOMONTH(AB$3,0)&gt;=MAX(AB$3,$E44),EOMONTH(AB$3,0)&lt;=IF($F44="",AB$4,MIN(AB$4,$F44)))*1+AND(EOMONTH(AB$4,0)&lt;&gt;EOMONTH(AB$3,0),EOMONTH(AB$4,0)&gt;=MAX(AB$3,$E44),EOMONTH(AB$4,0)&lt;=IF($F44="",AB$4,MIN(AB$4,$F44)))*1),IF($G44=102,(AND(WORKDAY(EOMONTH(AB$3,0)+1,-3)&gt;=MAX(AB$3,$E44),WORKDAY(EOMONTH(AB$3,0)+1,-3)&lt;=IF($F44="",AB$4,MIN(AB$4,$F44)))*1+AND(WORKDAY(EOMONTH(AB$4,0)+1,-3)&lt;&gt;WORKDAY(EOMONTH(AB$3,0)+1,-3),WORKDAY(EOMONTH(AB$4,0)+1,-3)&gt;=MAX(AB$3,$E44),WORKDAY(EOMONTH(AB$4,0)+1,-3)&lt;=IF($F44="",AB$4,MIN(AB$4,$F44)))*1),IF(AND(IF(EDATE($E44,MAX(0,ROUNDUP(((YEAR(AB$3)-YEAR($E44))*12+MONTH(AB$3)-MONTH($E44))/$G44,0)*$G44))&lt;AB$3,EDATE($E44,MAX(0,ROUNDUP(((YEAR(AB$3)-YEAR($E44))*12+MONTH(AB$3)-MONTH($E44))/$G44,0)*$G44)+$G44),EDATE($E44,MAX(0,ROUNDUP(((YEAR(AB$3)-YEAR($E44))*12+MONTH(AB$3)-MONTH($E44))/$G44,0)*$G44)))&gt;=AB$3,IF(EDATE($E44,MAX(0,ROUNDUP(((YEAR(AB$3)-YEAR($E44))*12+MONTH(AB$3)-MONTH($E44))/$G44,0)*$G44))&lt;AB$3,EDATE($E44,MAX(0,ROUNDUP(((YEAR(AB$3)-YEAR($E44))*12+MONTH(AB$3)-MONTH($E44))/$G44,0)*$G44)+$G44),EDATE($E44,MAX(0,ROUNDUP(((YEAR(AB$3)-YEAR($E44))*12+MONTH(AB$3)-MONTH($E44))/$G44,0)*$G44)))&lt;=IF($F44="",AB$4,MIN(AB$4,$F44))),1,0)))))</f>
        <v>0</v>
      </c>
      <c r="AC44" s="25" t="n">
        <f aca="false">IF(OR($C44="",$C44=0,$E44="",$B44="",$G44=-2),0,$C44*IF($G44=0,IF(IF($F44="",AC$4,MIN(AC$4,$F44))&lt;$E44,0,MAX(0,INT((IF($F44="",AC$4,MIN(AC$4,$F44))-$E44)/7)+1-MAX(0,ROUNDUP((AC$3-$E44)/7,0)))),IF($G44=101,(AND(EOMONTH(AC$3,0)&gt;=MAX(AC$3,$E44),EOMONTH(AC$3,0)&lt;=IF($F44="",AC$4,MIN(AC$4,$F44)))*1+AND(EOMONTH(AC$4,0)&lt;&gt;EOMONTH(AC$3,0),EOMONTH(AC$4,0)&gt;=MAX(AC$3,$E44),EOMONTH(AC$4,0)&lt;=IF($F44="",AC$4,MIN(AC$4,$F44)))*1),IF($G44=102,(AND(WORKDAY(EOMONTH(AC$3,0)+1,-3)&gt;=MAX(AC$3,$E44),WORKDAY(EOMONTH(AC$3,0)+1,-3)&lt;=IF($F44="",AC$4,MIN(AC$4,$F44)))*1+AND(WORKDAY(EOMONTH(AC$4,0)+1,-3)&lt;&gt;WORKDAY(EOMONTH(AC$3,0)+1,-3),WORKDAY(EOMONTH(AC$4,0)+1,-3)&gt;=MAX(AC$3,$E44),WORKDAY(EOMONTH(AC$4,0)+1,-3)&lt;=IF($F44="",AC$4,MIN(AC$4,$F44)))*1),IF(AND(IF(EDATE($E44,MAX(0,ROUNDUP(((YEAR(AC$3)-YEAR($E44))*12+MONTH(AC$3)-MONTH($E44))/$G44,0)*$G44))&lt;AC$3,EDATE($E44,MAX(0,ROUNDUP(((YEAR(AC$3)-YEAR($E44))*12+MONTH(AC$3)-MONTH($E44))/$G44,0)*$G44)+$G44),EDATE($E44,MAX(0,ROUNDUP(((YEAR(AC$3)-YEAR($E44))*12+MONTH(AC$3)-MONTH($E44))/$G44,0)*$G44)))&gt;=AC$3,IF(EDATE($E44,MAX(0,ROUNDUP(((YEAR(AC$3)-YEAR($E44))*12+MONTH(AC$3)-MONTH($E44))/$G44,0)*$G44))&lt;AC$3,EDATE($E44,MAX(0,ROUNDUP(((YEAR(AC$3)-YEAR($E44))*12+MONTH(AC$3)-MONTH($E44))/$G44,0)*$G44)+$G44),EDATE($E44,MAX(0,ROUNDUP(((YEAR(AC$3)-YEAR($E44))*12+MONTH(AC$3)-MONTH($E44))/$G44,0)*$G44)))&lt;=IF($F44="",AC$4,MIN(AC$4,$F44))),1,0)))))</f>
        <v>0</v>
      </c>
      <c r="AD44" s="25" t="n">
        <f aca="false">IF(OR($C44="",$C44=0,$E44="",$B44="",$G44=-2),0,$C44*IF($G44=0,IF(IF($F44="",AD$4,MIN(AD$4,$F44))&lt;$E44,0,MAX(0,INT((IF($F44="",AD$4,MIN(AD$4,$F44))-$E44)/7)+1-MAX(0,ROUNDUP((AD$3-$E44)/7,0)))),IF($G44=101,(AND(EOMONTH(AD$3,0)&gt;=MAX(AD$3,$E44),EOMONTH(AD$3,0)&lt;=IF($F44="",AD$4,MIN(AD$4,$F44)))*1+AND(EOMONTH(AD$4,0)&lt;&gt;EOMONTH(AD$3,0),EOMONTH(AD$4,0)&gt;=MAX(AD$3,$E44),EOMONTH(AD$4,0)&lt;=IF($F44="",AD$4,MIN(AD$4,$F44)))*1),IF($G44=102,(AND(WORKDAY(EOMONTH(AD$3,0)+1,-3)&gt;=MAX(AD$3,$E44),WORKDAY(EOMONTH(AD$3,0)+1,-3)&lt;=IF($F44="",AD$4,MIN(AD$4,$F44)))*1+AND(WORKDAY(EOMONTH(AD$4,0)+1,-3)&lt;&gt;WORKDAY(EOMONTH(AD$3,0)+1,-3),WORKDAY(EOMONTH(AD$4,0)+1,-3)&gt;=MAX(AD$3,$E44),WORKDAY(EOMONTH(AD$4,0)+1,-3)&lt;=IF($F44="",AD$4,MIN(AD$4,$F44)))*1),IF(AND(IF(EDATE($E44,MAX(0,ROUNDUP(((YEAR(AD$3)-YEAR($E44))*12+MONTH(AD$3)-MONTH($E44))/$G44,0)*$G44))&lt;AD$3,EDATE($E44,MAX(0,ROUNDUP(((YEAR(AD$3)-YEAR($E44))*12+MONTH(AD$3)-MONTH($E44))/$G44,0)*$G44)+$G44),EDATE($E44,MAX(0,ROUNDUP(((YEAR(AD$3)-YEAR($E44))*12+MONTH(AD$3)-MONTH($E44))/$G44,0)*$G44)))&gt;=AD$3,IF(EDATE($E44,MAX(0,ROUNDUP(((YEAR(AD$3)-YEAR($E44))*12+MONTH(AD$3)-MONTH($E44))/$G44,0)*$G44))&lt;AD$3,EDATE($E44,MAX(0,ROUNDUP(((YEAR(AD$3)-YEAR($E44))*12+MONTH(AD$3)-MONTH($E44))/$G44,0)*$G44)+$G44),EDATE($E44,MAX(0,ROUNDUP(((YEAR(AD$3)-YEAR($E44))*12+MONTH(AD$3)-MONTH($E44))/$G44,0)*$G44)))&lt;=IF($F44="",AD$4,MIN(AD$4,$F44))),1,0)))))</f>
        <v>0</v>
      </c>
      <c r="AE44" s="25" t="n">
        <f aca="false">IF(OR($C44="",$C44=0,$E44="",$B44="",$G44=-2),0,$C44*IF($G44=0,IF(IF($F44="",AE$4,MIN(AE$4,$F44))&lt;$E44,0,MAX(0,INT((IF($F44="",AE$4,MIN(AE$4,$F44))-$E44)/7)+1-MAX(0,ROUNDUP((AE$3-$E44)/7,0)))),IF($G44=101,(AND(EOMONTH(AE$3,0)&gt;=MAX(AE$3,$E44),EOMONTH(AE$3,0)&lt;=IF($F44="",AE$4,MIN(AE$4,$F44)))*1+AND(EOMONTH(AE$4,0)&lt;&gt;EOMONTH(AE$3,0),EOMONTH(AE$4,0)&gt;=MAX(AE$3,$E44),EOMONTH(AE$4,0)&lt;=IF($F44="",AE$4,MIN(AE$4,$F44)))*1),IF($G44=102,(AND(WORKDAY(EOMONTH(AE$3,0)+1,-3)&gt;=MAX(AE$3,$E44),WORKDAY(EOMONTH(AE$3,0)+1,-3)&lt;=IF($F44="",AE$4,MIN(AE$4,$F44)))*1+AND(WORKDAY(EOMONTH(AE$4,0)+1,-3)&lt;&gt;WORKDAY(EOMONTH(AE$3,0)+1,-3),WORKDAY(EOMONTH(AE$4,0)+1,-3)&gt;=MAX(AE$3,$E44),WORKDAY(EOMONTH(AE$4,0)+1,-3)&lt;=IF($F44="",AE$4,MIN(AE$4,$F44)))*1),IF(AND(IF(EDATE($E44,MAX(0,ROUNDUP(((YEAR(AE$3)-YEAR($E44))*12+MONTH(AE$3)-MONTH($E44))/$G44,0)*$G44))&lt;AE$3,EDATE($E44,MAX(0,ROUNDUP(((YEAR(AE$3)-YEAR($E44))*12+MONTH(AE$3)-MONTH($E44))/$G44,0)*$G44)+$G44),EDATE($E44,MAX(0,ROUNDUP(((YEAR(AE$3)-YEAR($E44))*12+MONTH(AE$3)-MONTH($E44))/$G44,0)*$G44)))&gt;=AE$3,IF(EDATE($E44,MAX(0,ROUNDUP(((YEAR(AE$3)-YEAR($E44))*12+MONTH(AE$3)-MONTH($E44))/$G44,0)*$G44))&lt;AE$3,EDATE($E44,MAX(0,ROUNDUP(((YEAR(AE$3)-YEAR($E44))*12+MONTH(AE$3)-MONTH($E44))/$G44,0)*$G44)+$G44),EDATE($E44,MAX(0,ROUNDUP(((YEAR(AE$3)-YEAR($E44))*12+MONTH(AE$3)-MONTH($E44))/$G44,0)*$G44)))&lt;=IF($F44="",AE$4,MIN(AE$4,$F44))),1,0)))))</f>
        <v>0</v>
      </c>
      <c r="AF44" s="25" t="n">
        <f aca="false">IF(OR($C44="",$C44=0,$E44="",$B44="",$G44=-2),0,$C44*IF($G44=0,IF(IF($F44="",AF$4,MIN(AF$4,$F44))&lt;$E44,0,MAX(0,INT((IF($F44="",AF$4,MIN(AF$4,$F44))-$E44)/7)+1-MAX(0,ROUNDUP((AF$3-$E44)/7,0)))),IF($G44=101,(AND(EOMONTH(AF$3,0)&gt;=MAX(AF$3,$E44),EOMONTH(AF$3,0)&lt;=IF($F44="",AF$4,MIN(AF$4,$F44)))*1+AND(EOMONTH(AF$4,0)&lt;&gt;EOMONTH(AF$3,0),EOMONTH(AF$4,0)&gt;=MAX(AF$3,$E44),EOMONTH(AF$4,0)&lt;=IF($F44="",AF$4,MIN(AF$4,$F44)))*1),IF($G44=102,(AND(WORKDAY(EOMONTH(AF$3,0)+1,-3)&gt;=MAX(AF$3,$E44),WORKDAY(EOMONTH(AF$3,0)+1,-3)&lt;=IF($F44="",AF$4,MIN(AF$4,$F44)))*1+AND(WORKDAY(EOMONTH(AF$4,0)+1,-3)&lt;&gt;WORKDAY(EOMONTH(AF$3,0)+1,-3),WORKDAY(EOMONTH(AF$4,0)+1,-3)&gt;=MAX(AF$3,$E44),WORKDAY(EOMONTH(AF$4,0)+1,-3)&lt;=IF($F44="",AF$4,MIN(AF$4,$F44)))*1),IF(AND(IF(EDATE($E44,MAX(0,ROUNDUP(((YEAR(AF$3)-YEAR($E44))*12+MONTH(AF$3)-MONTH($E44))/$G44,0)*$G44))&lt;AF$3,EDATE($E44,MAX(0,ROUNDUP(((YEAR(AF$3)-YEAR($E44))*12+MONTH(AF$3)-MONTH($E44))/$G44,0)*$G44)+$G44),EDATE($E44,MAX(0,ROUNDUP(((YEAR(AF$3)-YEAR($E44))*12+MONTH(AF$3)-MONTH($E44))/$G44,0)*$G44)))&gt;=AF$3,IF(EDATE($E44,MAX(0,ROUNDUP(((YEAR(AF$3)-YEAR($E44))*12+MONTH(AF$3)-MONTH($E44))/$G44,0)*$G44))&lt;AF$3,EDATE($E44,MAX(0,ROUNDUP(((YEAR(AF$3)-YEAR($E44))*12+MONTH(AF$3)-MONTH($E44))/$G44,0)*$G44)+$G44),EDATE($E44,MAX(0,ROUNDUP(((YEAR(AF$3)-YEAR($E44))*12+MONTH(AF$3)-MONTH($E44))/$G44,0)*$G44)))&lt;=IF($F44="",AF$4,MIN(AF$4,$F44))),1,0)))))</f>
        <v>0</v>
      </c>
    </row>
    <row r="45" customFormat="false" ht="15" hidden="false" customHeight="false" outlineLevel="0" collapsed="false">
      <c r="A45" s="5"/>
      <c r="B45" s="5"/>
      <c r="C45" s="8"/>
      <c r="D45" s="5"/>
      <c r="E45" s="7"/>
      <c r="F45" s="7"/>
      <c r="G45" s="24" t="n">
        <f aca="false">IFERROR(INDEX(Listen!$E$2:$E$8,MATCH(D45,Listen!$D$2:$D$8,0)),-2)</f>
        <v>-2</v>
      </c>
      <c r="H45" s="25" t="n">
        <f aca="false">IF(OR($C45="",$C45=0,$E45="",$B45="",$G45=-2),0,$C45*IF($G45=0,IF(IF($F45="",H$4,MIN(H$4,$F45))&lt;$E45,0,MAX(0,INT((IF($F45="",H$4,MIN(H$4,$F45))-$E45)/7)+1-MAX(0,ROUNDUP((H$3-$E45)/7,0)))),IF($G45=101,(AND(EOMONTH(H$3,0)&gt;=MAX(H$3,$E45),EOMONTH(H$3,0)&lt;=IF($F45="",H$4,MIN(H$4,$F45)))*1+AND(EOMONTH(H$4,0)&lt;&gt;EOMONTH(H$3,0),EOMONTH(H$4,0)&gt;=MAX(H$3,$E45),EOMONTH(H$4,0)&lt;=IF($F45="",H$4,MIN(H$4,$F45)))*1),IF($G45=102,(AND(WORKDAY(EOMONTH(H$3,0)+1,-3)&gt;=MAX(H$3,$E45),WORKDAY(EOMONTH(H$3,0)+1,-3)&lt;=IF($F45="",H$4,MIN(H$4,$F45)))*1+AND(WORKDAY(EOMONTH(H$4,0)+1,-3)&lt;&gt;WORKDAY(EOMONTH(H$3,0)+1,-3),WORKDAY(EOMONTH(H$4,0)+1,-3)&gt;=MAX(H$3,$E45),WORKDAY(EOMONTH(H$4,0)+1,-3)&lt;=IF($F45="",H$4,MIN(H$4,$F45)))*1),IF(AND(IF(EDATE($E45,MAX(0,ROUNDUP(((YEAR(H$3)-YEAR($E45))*12+MONTH(H$3)-MONTH($E45))/$G45,0)*$G45))&lt;H$3,EDATE($E45,MAX(0,ROUNDUP(((YEAR(H$3)-YEAR($E45))*12+MONTH(H$3)-MONTH($E45))/$G45,0)*$G45)+$G45),EDATE($E45,MAX(0,ROUNDUP(((YEAR(H$3)-YEAR($E45))*12+MONTH(H$3)-MONTH($E45))/$G45,0)*$G45)))&gt;=H$3,IF(EDATE($E45,MAX(0,ROUNDUP(((YEAR(H$3)-YEAR($E45))*12+MONTH(H$3)-MONTH($E45))/$G45,0)*$G45))&lt;H$3,EDATE($E45,MAX(0,ROUNDUP(((YEAR(H$3)-YEAR($E45))*12+MONTH(H$3)-MONTH($E45))/$G45,0)*$G45)+$G45),EDATE($E45,MAX(0,ROUNDUP(((YEAR(H$3)-YEAR($E45))*12+MONTH(H$3)-MONTH($E45))/$G45,0)*$G45)))&lt;=IF($F45="",H$4,MIN(H$4,$F45))),1,0)))))</f>
        <v>0</v>
      </c>
      <c r="I45" s="25" t="n">
        <f aca="false">IF(OR($C45="",$C45=0,$E45="",$B45="",$G45=-2),0,$C45*IF($G45=0,IF(IF($F45="",I$4,MIN(I$4,$F45))&lt;$E45,0,MAX(0,INT((IF($F45="",I$4,MIN(I$4,$F45))-$E45)/7)+1-MAX(0,ROUNDUP((I$3-$E45)/7,0)))),IF($G45=101,(AND(EOMONTH(I$3,0)&gt;=MAX(I$3,$E45),EOMONTH(I$3,0)&lt;=IF($F45="",I$4,MIN(I$4,$F45)))*1+AND(EOMONTH(I$4,0)&lt;&gt;EOMONTH(I$3,0),EOMONTH(I$4,0)&gt;=MAX(I$3,$E45),EOMONTH(I$4,0)&lt;=IF($F45="",I$4,MIN(I$4,$F45)))*1),IF($G45=102,(AND(WORKDAY(EOMONTH(I$3,0)+1,-3)&gt;=MAX(I$3,$E45),WORKDAY(EOMONTH(I$3,0)+1,-3)&lt;=IF($F45="",I$4,MIN(I$4,$F45)))*1+AND(WORKDAY(EOMONTH(I$4,0)+1,-3)&lt;&gt;WORKDAY(EOMONTH(I$3,0)+1,-3),WORKDAY(EOMONTH(I$4,0)+1,-3)&gt;=MAX(I$3,$E45),WORKDAY(EOMONTH(I$4,0)+1,-3)&lt;=IF($F45="",I$4,MIN(I$4,$F45)))*1),IF(AND(IF(EDATE($E45,MAX(0,ROUNDUP(((YEAR(I$3)-YEAR($E45))*12+MONTH(I$3)-MONTH($E45))/$G45,0)*$G45))&lt;I$3,EDATE($E45,MAX(0,ROUNDUP(((YEAR(I$3)-YEAR($E45))*12+MONTH(I$3)-MONTH($E45))/$G45,0)*$G45)+$G45),EDATE($E45,MAX(0,ROUNDUP(((YEAR(I$3)-YEAR($E45))*12+MONTH(I$3)-MONTH($E45))/$G45,0)*$G45)))&gt;=I$3,IF(EDATE($E45,MAX(0,ROUNDUP(((YEAR(I$3)-YEAR($E45))*12+MONTH(I$3)-MONTH($E45))/$G45,0)*$G45))&lt;I$3,EDATE($E45,MAX(0,ROUNDUP(((YEAR(I$3)-YEAR($E45))*12+MONTH(I$3)-MONTH($E45))/$G45,0)*$G45)+$G45),EDATE($E45,MAX(0,ROUNDUP(((YEAR(I$3)-YEAR($E45))*12+MONTH(I$3)-MONTH($E45))/$G45,0)*$G45)))&lt;=IF($F45="",I$4,MIN(I$4,$F45))),1,0)))))</f>
        <v>0</v>
      </c>
      <c r="J45" s="25" t="n">
        <f aca="false">IF(OR($C45="",$C45=0,$E45="",$B45="",$G45=-2),0,$C45*IF($G45=0,IF(IF($F45="",J$4,MIN(J$4,$F45))&lt;$E45,0,MAX(0,INT((IF($F45="",J$4,MIN(J$4,$F45))-$E45)/7)+1-MAX(0,ROUNDUP((J$3-$E45)/7,0)))),IF($G45=101,(AND(EOMONTH(J$3,0)&gt;=MAX(J$3,$E45),EOMONTH(J$3,0)&lt;=IF($F45="",J$4,MIN(J$4,$F45)))*1+AND(EOMONTH(J$4,0)&lt;&gt;EOMONTH(J$3,0),EOMONTH(J$4,0)&gt;=MAX(J$3,$E45),EOMONTH(J$4,0)&lt;=IF($F45="",J$4,MIN(J$4,$F45)))*1),IF($G45=102,(AND(WORKDAY(EOMONTH(J$3,0)+1,-3)&gt;=MAX(J$3,$E45),WORKDAY(EOMONTH(J$3,0)+1,-3)&lt;=IF($F45="",J$4,MIN(J$4,$F45)))*1+AND(WORKDAY(EOMONTH(J$4,0)+1,-3)&lt;&gt;WORKDAY(EOMONTH(J$3,0)+1,-3),WORKDAY(EOMONTH(J$4,0)+1,-3)&gt;=MAX(J$3,$E45),WORKDAY(EOMONTH(J$4,0)+1,-3)&lt;=IF($F45="",J$4,MIN(J$4,$F45)))*1),IF(AND(IF(EDATE($E45,MAX(0,ROUNDUP(((YEAR(J$3)-YEAR($E45))*12+MONTH(J$3)-MONTH($E45))/$G45,0)*$G45))&lt;J$3,EDATE($E45,MAX(0,ROUNDUP(((YEAR(J$3)-YEAR($E45))*12+MONTH(J$3)-MONTH($E45))/$G45,0)*$G45)+$G45),EDATE($E45,MAX(0,ROUNDUP(((YEAR(J$3)-YEAR($E45))*12+MONTH(J$3)-MONTH($E45))/$G45,0)*$G45)))&gt;=J$3,IF(EDATE($E45,MAX(0,ROUNDUP(((YEAR(J$3)-YEAR($E45))*12+MONTH(J$3)-MONTH($E45))/$G45,0)*$G45))&lt;J$3,EDATE($E45,MAX(0,ROUNDUP(((YEAR(J$3)-YEAR($E45))*12+MONTH(J$3)-MONTH($E45))/$G45,0)*$G45)+$G45),EDATE($E45,MAX(0,ROUNDUP(((YEAR(J$3)-YEAR($E45))*12+MONTH(J$3)-MONTH($E45))/$G45,0)*$G45)))&lt;=IF($F45="",J$4,MIN(J$4,$F45))),1,0)))))</f>
        <v>0</v>
      </c>
      <c r="K45" s="25" t="n">
        <f aca="false">IF(OR($C45="",$C45=0,$E45="",$B45="",$G45=-2),0,$C45*IF($G45=0,IF(IF($F45="",K$4,MIN(K$4,$F45))&lt;$E45,0,MAX(0,INT((IF($F45="",K$4,MIN(K$4,$F45))-$E45)/7)+1-MAX(0,ROUNDUP((K$3-$E45)/7,0)))),IF($G45=101,(AND(EOMONTH(K$3,0)&gt;=MAX(K$3,$E45),EOMONTH(K$3,0)&lt;=IF($F45="",K$4,MIN(K$4,$F45)))*1+AND(EOMONTH(K$4,0)&lt;&gt;EOMONTH(K$3,0),EOMONTH(K$4,0)&gt;=MAX(K$3,$E45),EOMONTH(K$4,0)&lt;=IF($F45="",K$4,MIN(K$4,$F45)))*1),IF($G45=102,(AND(WORKDAY(EOMONTH(K$3,0)+1,-3)&gt;=MAX(K$3,$E45),WORKDAY(EOMONTH(K$3,0)+1,-3)&lt;=IF($F45="",K$4,MIN(K$4,$F45)))*1+AND(WORKDAY(EOMONTH(K$4,0)+1,-3)&lt;&gt;WORKDAY(EOMONTH(K$3,0)+1,-3),WORKDAY(EOMONTH(K$4,0)+1,-3)&gt;=MAX(K$3,$E45),WORKDAY(EOMONTH(K$4,0)+1,-3)&lt;=IF($F45="",K$4,MIN(K$4,$F45)))*1),IF(AND(IF(EDATE($E45,MAX(0,ROUNDUP(((YEAR(K$3)-YEAR($E45))*12+MONTH(K$3)-MONTH($E45))/$G45,0)*$G45))&lt;K$3,EDATE($E45,MAX(0,ROUNDUP(((YEAR(K$3)-YEAR($E45))*12+MONTH(K$3)-MONTH($E45))/$G45,0)*$G45)+$G45),EDATE($E45,MAX(0,ROUNDUP(((YEAR(K$3)-YEAR($E45))*12+MONTH(K$3)-MONTH($E45))/$G45,0)*$G45)))&gt;=K$3,IF(EDATE($E45,MAX(0,ROUNDUP(((YEAR(K$3)-YEAR($E45))*12+MONTH(K$3)-MONTH($E45))/$G45,0)*$G45))&lt;K$3,EDATE($E45,MAX(0,ROUNDUP(((YEAR(K$3)-YEAR($E45))*12+MONTH(K$3)-MONTH($E45))/$G45,0)*$G45)+$G45),EDATE($E45,MAX(0,ROUNDUP(((YEAR(K$3)-YEAR($E45))*12+MONTH(K$3)-MONTH($E45))/$G45,0)*$G45)))&lt;=IF($F45="",K$4,MIN(K$4,$F45))),1,0)))))</f>
        <v>0</v>
      </c>
      <c r="L45" s="25" t="n">
        <f aca="false">IF(OR($C45="",$C45=0,$E45="",$B45="",$G45=-2),0,$C45*IF($G45=0,IF(IF($F45="",L$4,MIN(L$4,$F45))&lt;$E45,0,MAX(0,INT((IF($F45="",L$4,MIN(L$4,$F45))-$E45)/7)+1-MAX(0,ROUNDUP((L$3-$E45)/7,0)))),IF($G45=101,(AND(EOMONTH(L$3,0)&gt;=MAX(L$3,$E45),EOMONTH(L$3,0)&lt;=IF($F45="",L$4,MIN(L$4,$F45)))*1+AND(EOMONTH(L$4,0)&lt;&gt;EOMONTH(L$3,0),EOMONTH(L$4,0)&gt;=MAX(L$3,$E45),EOMONTH(L$4,0)&lt;=IF($F45="",L$4,MIN(L$4,$F45)))*1),IF($G45=102,(AND(WORKDAY(EOMONTH(L$3,0)+1,-3)&gt;=MAX(L$3,$E45),WORKDAY(EOMONTH(L$3,0)+1,-3)&lt;=IF($F45="",L$4,MIN(L$4,$F45)))*1+AND(WORKDAY(EOMONTH(L$4,0)+1,-3)&lt;&gt;WORKDAY(EOMONTH(L$3,0)+1,-3),WORKDAY(EOMONTH(L$4,0)+1,-3)&gt;=MAX(L$3,$E45),WORKDAY(EOMONTH(L$4,0)+1,-3)&lt;=IF($F45="",L$4,MIN(L$4,$F45)))*1),IF(AND(IF(EDATE($E45,MAX(0,ROUNDUP(((YEAR(L$3)-YEAR($E45))*12+MONTH(L$3)-MONTH($E45))/$G45,0)*$G45))&lt;L$3,EDATE($E45,MAX(0,ROUNDUP(((YEAR(L$3)-YEAR($E45))*12+MONTH(L$3)-MONTH($E45))/$G45,0)*$G45)+$G45),EDATE($E45,MAX(0,ROUNDUP(((YEAR(L$3)-YEAR($E45))*12+MONTH(L$3)-MONTH($E45))/$G45,0)*$G45)))&gt;=L$3,IF(EDATE($E45,MAX(0,ROUNDUP(((YEAR(L$3)-YEAR($E45))*12+MONTH(L$3)-MONTH($E45))/$G45,0)*$G45))&lt;L$3,EDATE($E45,MAX(0,ROUNDUP(((YEAR(L$3)-YEAR($E45))*12+MONTH(L$3)-MONTH($E45))/$G45,0)*$G45)+$G45),EDATE($E45,MAX(0,ROUNDUP(((YEAR(L$3)-YEAR($E45))*12+MONTH(L$3)-MONTH($E45))/$G45,0)*$G45)))&lt;=IF($F45="",L$4,MIN(L$4,$F45))),1,0)))))</f>
        <v>0</v>
      </c>
      <c r="M45" s="25" t="n">
        <f aca="false">IF(OR($C45="",$C45=0,$E45="",$B45="",$G45=-2),0,$C45*IF($G45=0,IF(IF($F45="",M$4,MIN(M$4,$F45))&lt;$E45,0,MAX(0,INT((IF($F45="",M$4,MIN(M$4,$F45))-$E45)/7)+1-MAX(0,ROUNDUP((M$3-$E45)/7,0)))),IF($G45=101,(AND(EOMONTH(M$3,0)&gt;=MAX(M$3,$E45),EOMONTH(M$3,0)&lt;=IF($F45="",M$4,MIN(M$4,$F45)))*1+AND(EOMONTH(M$4,0)&lt;&gt;EOMONTH(M$3,0),EOMONTH(M$4,0)&gt;=MAX(M$3,$E45),EOMONTH(M$4,0)&lt;=IF($F45="",M$4,MIN(M$4,$F45)))*1),IF($G45=102,(AND(WORKDAY(EOMONTH(M$3,0)+1,-3)&gt;=MAX(M$3,$E45),WORKDAY(EOMONTH(M$3,0)+1,-3)&lt;=IF($F45="",M$4,MIN(M$4,$F45)))*1+AND(WORKDAY(EOMONTH(M$4,0)+1,-3)&lt;&gt;WORKDAY(EOMONTH(M$3,0)+1,-3),WORKDAY(EOMONTH(M$4,0)+1,-3)&gt;=MAX(M$3,$E45),WORKDAY(EOMONTH(M$4,0)+1,-3)&lt;=IF($F45="",M$4,MIN(M$4,$F45)))*1),IF(AND(IF(EDATE($E45,MAX(0,ROUNDUP(((YEAR(M$3)-YEAR($E45))*12+MONTH(M$3)-MONTH($E45))/$G45,0)*$G45))&lt;M$3,EDATE($E45,MAX(0,ROUNDUP(((YEAR(M$3)-YEAR($E45))*12+MONTH(M$3)-MONTH($E45))/$G45,0)*$G45)+$G45),EDATE($E45,MAX(0,ROUNDUP(((YEAR(M$3)-YEAR($E45))*12+MONTH(M$3)-MONTH($E45))/$G45,0)*$G45)))&gt;=M$3,IF(EDATE($E45,MAX(0,ROUNDUP(((YEAR(M$3)-YEAR($E45))*12+MONTH(M$3)-MONTH($E45))/$G45,0)*$G45))&lt;M$3,EDATE($E45,MAX(0,ROUNDUP(((YEAR(M$3)-YEAR($E45))*12+MONTH(M$3)-MONTH($E45))/$G45,0)*$G45)+$G45),EDATE($E45,MAX(0,ROUNDUP(((YEAR(M$3)-YEAR($E45))*12+MONTH(M$3)-MONTH($E45))/$G45,0)*$G45)))&lt;=IF($F45="",M$4,MIN(M$4,$F45))),1,0)))))</f>
        <v>0</v>
      </c>
      <c r="N45" s="25" t="n">
        <f aca="false">IF(OR($C45="",$C45=0,$E45="",$B45="",$G45=-2),0,$C45*IF($G45=0,IF(IF($F45="",N$4,MIN(N$4,$F45))&lt;$E45,0,MAX(0,INT((IF($F45="",N$4,MIN(N$4,$F45))-$E45)/7)+1-MAX(0,ROUNDUP((N$3-$E45)/7,0)))),IF($G45=101,(AND(EOMONTH(N$3,0)&gt;=MAX(N$3,$E45),EOMONTH(N$3,0)&lt;=IF($F45="",N$4,MIN(N$4,$F45)))*1+AND(EOMONTH(N$4,0)&lt;&gt;EOMONTH(N$3,0),EOMONTH(N$4,0)&gt;=MAX(N$3,$E45),EOMONTH(N$4,0)&lt;=IF($F45="",N$4,MIN(N$4,$F45)))*1),IF($G45=102,(AND(WORKDAY(EOMONTH(N$3,0)+1,-3)&gt;=MAX(N$3,$E45),WORKDAY(EOMONTH(N$3,0)+1,-3)&lt;=IF($F45="",N$4,MIN(N$4,$F45)))*1+AND(WORKDAY(EOMONTH(N$4,0)+1,-3)&lt;&gt;WORKDAY(EOMONTH(N$3,0)+1,-3),WORKDAY(EOMONTH(N$4,0)+1,-3)&gt;=MAX(N$3,$E45),WORKDAY(EOMONTH(N$4,0)+1,-3)&lt;=IF($F45="",N$4,MIN(N$4,$F45)))*1),IF(AND(IF(EDATE($E45,MAX(0,ROUNDUP(((YEAR(N$3)-YEAR($E45))*12+MONTH(N$3)-MONTH($E45))/$G45,0)*$G45))&lt;N$3,EDATE($E45,MAX(0,ROUNDUP(((YEAR(N$3)-YEAR($E45))*12+MONTH(N$3)-MONTH($E45))/$G45,0)*$G45)+$G45),EDATE($E45,MAX(0,ROUNDUP(((YEAR(N$3)-YEAR($E45))*12+MONTH(N$3)-MONTH($E45))/$G45,0)*$G45)))&gt;=N$3,IF(EDATE($E45,MAX(0,ROUNDUP(((YEAR(N$3)-YEAR($E45))*12+MONTH(N$3)-MONTH($E45))/$G45,0)*$G45))&lt;N$3,EDATE($E45,MAX(0,ROUNDUP(((YEAR(N$3)-YEAR($E45))*12+MONTH(N$3)-MONTH($E45))/$G45,0)*$G45)+$G45),EDATE($E45,MAX(0,ROUNDUP(((YEAR(N$3)-YEAR($E45))*12+MONTH(N$3)-MONTH($E45))/$G45,0)*$G45)))&lt;=IF($F45="",N$4,MIN(N$4,$F45))),1,0)))))</f>
        <v>0</v>
      </c>
      <c r="O45" s="25" t="n">
        <f aca="false">IF(OR($C45="",$C45=0,$E45="",$B45="",$G45=-2),0,$C45*IF($G45=0,IF(IF($F45="",O$4,MIN(O$4,$F45))&lt;$E45,0,MAX(0,INT((IF($F45="",O$4,MIN(O$4,$F45))-$E45)/7)+1-MAX(0,ROUNDUP((O$3-$E45)/7,0)))),IF($G45=101,(AND(EOMONTH(O$3,0)&gt;=MAX(O$3,$E45),EOMONTH(O$3,0)&lt;=IF($F45="",O$4,MIN(O$4,$F45)))*1+AND(EOMONTH(O$4,0)&lt;&gt;EOMONTH(O$3,0),EOMONTH(O$4,0)&gt;=MAX(O$3,$E45),EOMONTH(O$4,0)&lt;=IF($F45="",O$4,MIN(O$4,$F45)))*1),IF($G45=102,(AND(WORKDAY(EOMONTH(O$3,0)+1,-3)&gt;=MAX(O$3,$E45),WORKDAY(EOMONTH(O$3,0)+1,-3)&lt;=IF($F45="",O$4,MIN(O$4,$F45)))*1+AND(WORKDAY(EOMONTH(O$4,0)+1,-3)&lt;&gt;WORKDAY(EOMONTH(O$3,0)+1,-3),WORKDAY(EOMONTH(O$4,0)+1,-3)&gt;=MAX(O$3,$E45),WORKDAY(EOMONTH(O$4,0)+1,-3)&lt;=IF($F45="",O$4,MIN(O$4,$F45)))*1),IF(AND(IF(EDATE($E45,MAX(0,ROUNDUP(((YEAR(O$3)-YEAR($E45))*12+MONTH(O$3)-MONTH($E45))/$G45,0)*$G45))&lt;O$3,EDATE($E45,MAX(0,ROUNDUP(((YEAR(O$3)-YEAR($E45))*12+MONTH(O$3)-MONTH($E45))/$G45,0)*$G45)+$G45),EDATE($E45,MAX(0,ROUNDUP(((YEAR(O$3)-YEAR($E45))*12+MONTH(O$3)-MONTH($E45))/$G45,0)*$G45)))&gt;=O$3,IF(EDATE($E45,MAX(0,ROUNDUP(((YEAR(O$3)-YEAR($E45))*12+MONTH(O$3)-MONTH($E45))/$G45,0)*$G45))&lt;O$3,EDATE($E45,MAX(0,ROUNDUP(((YEAR(O$3)-YEAR($E45))*12+MONTH(O$3)-MONTH($E45))/$G45,0)*$G45)+$G45),EDATE($E45,MAX(0,ROUNDUP(((YEAR(O$3)-YEAR($E45))*12+MONTH(O$3)-MONTH($E45))/$G45,0)*$G45)))&lt;=IF($F45="",O$4,MIN(O$4,$F45))),1,0)))))</f>
        <v>0</v>
      </c>
      <c r="P45" s="25" t="n">
        <f aca="false">IF(OR($C45="",$C45=0,$E45="",$B45="",$G45=-2),0,$C45*IF($G45=0,IF(IF($F45="",P$4,MIN(P$4,$F45))&lt;$E45,0,MAX(0,INT((IF($F45="",P$4,MIN(P$4,$F45))-$E45)/7)+1-MAX(0,ROUNDUP((P$3-$E45)/7,0)))),IF($G45=101,(AND(EOMONTH(P$3,0)&gt;=MAX(P$3,$E45),EOMONTH(P$3,0)&lt;=IF($F45="",P$4,MIN(P$4,$F45)))*1+AND(EOMONTH(P$4,0)&lt;&gt;EOMONTH(P$3,0),EOMONTH(P$4,0)&gt;=MAX(P$3,$E45),EOMONTH(P$4,0)&lt;=IF($F45="",P$4,MIN(P$4,$F45)))*1),IF($G45=102,(AND(WORKDAY(EOMONTH(P$3,0)+1,-3)&gt;=MAX(P$3,$E45),WORKDAY(EOMONTH(P$3,0)+1,-3)&lt;=IF($F45="",P$4,MIN(P$4,$F45)))*1+AND(WORKDAY(EOMONTH(P$4,0)+1,-3)&lt;&gt;WORKDAY(EOMONTH(P$3,0)+1,-3),WORKDAY(EOMONTH(P$4,0)+1,-3)&gt;=MAX(P$3,$E45),WORKDAY(EOMONTH(P$4,0)+1,-3)&lt;=IF($F45="",P$4,MIN(P$4,$F45)))*1),IF(AND(IF(EDATE($E45,MAX(0,ROUNDUP(((YEAR(P$3)-YEAR($E45))*12+MONTH(P$3)-MONTH($E45))/$G45,0)*$G45))&lt;P$3,EDATE($E45,MAX(0,ROUNDUP(((YEAR(P$3)-YEAR($E45))*12+MONTH(P$3)-MONTH($E45))/$G45,0)*$G45)+$G45),EDATE($E45,MAX(0,ROUNDUP(((YEAR(P$3)-YEAR($E45))*12+MONTH(P$3)-MONTH($E45))/$G45,0)*$G45)))&gt;=P$3,IF(EDATE($E45,MAX(0,ROUNDUP(((YEAR(P$3)-YEAR($E45))*12+MONTH(P$3)-MONTH($E45))/$G45,0)*$G45))&lt;P$3,EDATE($E45,MAX(0,ROUNDUP(((YEAR(P$3)-YEAR($E45))*12+MONTH(P$3)-MONTH($E45))/$G45,0)*$G45)+$G45),EDATE($E45,MAX(0,ROUNDUP(((YEAR(P$3)-YEAR($E45))*12+MONTH(P$3)-MONTH($E45))/$G45,0)*$G45)))&lt;=IF($F45="",P$4,MIN(P$4,$F45))),1,0)))))</f>
        <v>0</v>
      </c>
      <c r="Q45" s="25" t="n">
        <f aca="false">IF(OR($C45="",$C45=0,$E45="",$B45="",$G45=-2),0,$C45*IF($G45=0,IF(IF($F45="",Q$4,MIN(Q$4,$F45))&lt;$E45,0,MAX(0,INT((IF($F45="",Q$4,MIN(Q$4,$F45))-$E45)/7)+1-MAX(0,ROUNDUP((Q$3-$E45)/7,0)))),IF($G45=101,(AND(EOMONTH(Q$3,0)&gt;=MAX(Q$3,$E45),EOMONTH(Q$3,0)&lt;=IF($F45="",Q$4,MIN(Q$4,$F45)))*1+AND(EOMONTH(Q$4,0)&lt;&gt;EOMONTH(Q$3,0),EOMONTH(Q$4,0)&gt;=MAX(Q$3,$E45),EOMONTH(Q$4,0)&lt;=IF($F45="",Q$4,MIN(Q$4,$F45)))*1),IF($G45=102,(AND(WORKDAY(EOMONTH(Q$3,0)+1,-3)&gt;=MAX(Q$3,$E45),WORKDAY(EOMONTH(Q$3,0)+1,-3)&lt;=IF($F45="",Q$4,MIN(Q$4,$F45)))*1+AND(WORKDAY(EOMONTH(Q$4,0)+1,-3)&lt;&gt;WORKDAY(EOMONTH(Q$3,0)+1,-3),WORKDAY(EOMONTH(Q$4,0)+1,-3)&gt;=MAX(Q$3,$E45),WORKDAY(EOMONTH(Q$4,0)+1,-3)&lt;=IF($F45="",Q$4,MIN(Q$4,$F45)))*1),IF(AND(IF(EDATE($E45,MAX(0,ROUNDUP(((YEAR(Q$3)-YEAR($E45))*12+MONTH(Q$3)-MONTH($E45))/$G45,0)*$G45))&lt;Q$3,EDATE($E45,MAX(0,ROUNDUP(((YEAR(Q$3)-YEAR($E45))*12+MONTH(Q$3)-MONTH($E45))/$G45,0)*$G45)+$G45),EDATE($E45,MAX(0,ROUNDUP(((YEAR(Q$3)-YEAR($E45))*12+MONTH(Q$3)-MONTH($E45))/$G45,0)*$G45)))&gt;=Q$3,IF(EDATE($E45,MAX(0,ROUNDUP(((YEAR(Q$3)-YEAR($E45))*12+MONTH(Q$3)-MONTH($E45))/$G45,0)*$G45))&lt;Q$3,EDATE($E45,MAX(0,ROUNDUP(((YEAR(Q$3)-YEAR($E45))*12+MONTH(Q$3)-MONTH($E45))/$G45,0)*$G45)+$G45),EDATE($E45,MAX(0,ROUNDUP(((YEAR(Q$3)-YEAR($E45))*12+MONTH(Q$3)-MONTH($E45))/$G45,0)*$G45)))&lt;=IF($F45="",Q$4,MIN(Q$4,$F45))),1,0)))))</f>
        <v>0</v>
      </c>
      <c r="R45" s="25" t="n">
        <f aca="false">IF(OR($C45="",$C45=0,$E45="",$B45="",$G45=-2),0,$C45*IF($G45=0,IF(IF($F45="",R$4,MIN(R$4,$F45))&lt;$E45,0,MAX(0,INT((IF($F45="",R$4,MIN(R$4,$F45))-$E45)/7)+1-MAX(0,ROUNDUP((R$3-$E45)/7,0)))),IF($G45=101,(AND(EOMONTH(R$3,0)&gt;=MAX(R$3,$E45),EOMONTH(R$3,0)&lt;=IF($F45="",R$4,MIN(R$4,$F45)))*1+AND(EOMONTH(R$4,0)&lt;&gt;EOMONTH(R$3,0),EOMONTH(R$4,0)&gt;=MAX(R$3,$E45),EOMONTH(R$4,0)&lt;=IF($F45="",R$4,MIN(R$4,$F45)))*1),IF($G45=102,(AND(WORKDAY(EOMONTH(R$3,0)+1,-3)&gt;=MAX(R$3,$E45),WORKDAY(EOMONTH(R$3,0)+1,-3)&lt;=IF($F45="",R$4,MIN(R$4,$F45)))*1+AND(WORKDAY(EOMONTH(R$4,0)+1,-3)&lt;&gt;WORKDAY(EOMONTH(R$3,0)+1,-3),WORKDAY(EOMONTH(R$4,0)+1,-3)&gt;=MAX(R$3,$E45),WORKDAY(EOMONTH(R$4,0)+1,-3)&lt;=IF($F45="",R$4,MIN(R$4,$F45)))*1),IF(AND(IF(EDATE($E45,MAX(0,ROUNDUP(((YEAR(R$3)-YEAR($E45))*12+MONTH(R$3)-MONTH($E45))/$G45,0)*$G45))&lt;R$3,EDATE($E45,MAX(0,ROUNDUP(((YEAR(R$3)-YEAR($E45))*12+MONTH(R$3)-MONTH($E45))/$G45,0)*$G45)+$G45),EDATE($E45,MAX(0,ROUNDUP(((YEAR(R$3)-YEAR($E45))*12+MONTH(R$3)-MONTH($E45))/$G45,0)*$G45)))&gt;=R$3,IF(EDATE($E45,MAX(0,ROUNDUP(((YEAR(R$3)-YEAR($E45))*12+MONTH(R$3)-MONTH($E45))/$G45,0)*$G45))&lt;R$3,EDATE($E45,MAX(0,ROUNDUP(((YEAR(R$3)-YEAR($E45))*12+MONTH(R$3)-MONTH($E45))/$G45,0)*$G45)+$G45),EDATE($E45,MAX(0,ROUNDUP(((YEAR(R$3)-YEAR($E45))*12+MONTH(R$3)-MONTH($E45))/$G45,0)*$G45)))&lt;=IF($F45="",R$4,MIN(R$4,$F45))),1,0)))))</f>
        <v>0</v>
      </c>
      <c r="S45" s="25" t="n">
        <f aca="false">IF(OR($C45="",$C45=0,$E45="",$B45="",$G45=-2),0,$C45*IF($G45=0,IF(IF($F45="",S$4,MIN(S$4,$F45))&lt;$E45,0,MAX(0,INT((IF($F45="",S$4,MIN(S$4,$F45))-$E45)/7)+1-MAX(0,ROUNDUP((S$3-$E45)/7,0)))),IF($G45=101,(AND(EOMONTH(S$3,0)&gt;=MAX(S$3,$E45),EOMONTH(S$3,0)&lt;=IF($F45="",S$4,MIN(S$4,$F45)))*1+AND(EOMONTH(S$4,0)&lt;&gt;EOMONTH(S$3,0),EOMONTH(S$4,0)&gt;=MAX(S$3,$E45),EOMONTH(S$4,0)&lt;=IF($F45="",S$4,MIN(S$4,$F45)))*1),IF($G45=102,(AND(WORKDAY(EOMONTH(S$3,0)+1,-3)&gt;=MAX(S$3,$E45),WORKDAY(EOMONTH(S$3,0)+1,-3)&lt;=IF($F45="",S$4,MIN(S$4,$F45)))*1+AND(WORKDAY(EOMONTH(S$4,0)+1,-3)&lt;&gt;WORKDAY(EOMONTH(S$3,0)+1,-3),WORKDAY(EOMONTH(S$4,0)+1,-3)&gt;=MAX(S$3,$E45),WORKDAY(EOMONTH(S$4,0)+1,-3)&lt;=IF($F45="",S$4,MIN(S$4,$F45)))*1),IF(AND(IF(EDATE($E45,MAX(0,ROUNDUP(((YEAR(S$3)-YEAR($E45))*12+MONTH(S$3)-MONTH($E45))/$G45,0)*$G45))&lt;S$3,EDATE($E45,MAX(0,ROUNDUP(((YEAR(S$3)-YEAR($E45))*12+MONTH(S$3)-MONTH($E45))/$G45,0)*$G45)+$G45),EDATE($E45,MAX(0,ROUNDUP(((YEAR(S$3)-YEAR($E45))*12+MONTH(S$3)-MONTH($E45))/$G45,0)*$G45)))&gt;=S$3,IF(EDATE($E45,MAX(0,ROUNDUP(((YEAR(S$3)-YEAR($E45))*12+MONTH(S$3)-MONTH($E45))/$G45,0)*$G45))&lt;S$3,EDATE($E45,MAX(0,ROUNDUP(((YEAR(S$3)-YEAR($E45))*12+MONTH(S$3)-MONTH($E45))/$G45,0)*$G45)+$G45),EDATE($E45,MAX(0,ROUNDUP(((YEAR(S$3)-YEAR($E45))*12+MONTH(S$3)-MONTH($E45))/$G45,0)*$G45)))&lt;=IF($F45="",S$4,MIN(S$4,$F45))),1,0)))))</f>
        <v>0</v>
      </c>
      <c r="T45" s="25" t="n">
        <f aca="false">IF(OR($C45="",$C45=0,$E45="",$B45="",$G45=-2),0,$C45*IF($G45=0,IF(IF($F45="",T$4,MIN(T$4,$F45))&lt;$E45,0,MAX(0,INT((IF($F45="",T$4,MIN(T$4,$F45))-$E45)/7)+1-MAX(0,ROUNDUP((T$3-$E45)/7,0)))),IF($G45=101,(AND(EOMONTH(T$3,0)&gt;=MAX(T$3,$E45),EOMONTH(T$3,0)&lt;=IF($F45="",T$4,MIN(T$4,$F45)))*1+AND(EOMONTH(T$4,0)&lt;&gt;EOMONTH(T$3,0),EOMONTH(T$4,0)&gt;=MAX(T$3,$E45),EOMONTH(T$4,0)&lt;=IF($F45="",T$4,MIN(T$4,$F45)))*1),IF($G45=102,(AND(WORKDAY(EOMONTH(T$3,0)+1,-3)&gt;=MAX(T$3,$E45),WORKDAY(EOMONTH(T$3,0)+1,-3)&lt;=IF($F45="",T$4,MIN(T$4,$F45)))*1+AND(WORKDAY(EOMONTH(T$4,0)+1,-3)&lt;&gt;WORKDAY(EOMONTH(T$3,0)+1,-3),WORKDAY(EOMONTH(T$4,0)+1,-3)&gt;=MAX(T$3,$E45),WORKDAY(EOMONTH(T$4,0)+1,-3)&lt;=IF($F45="",T$4,MIN(T$4,$F45)))*1),IF(AND(IF(EDATE($E45,MAX(0,ROUNDUP(((YEAR(T$3)-YEAR($E45))*12+MONTH(T$3)-MONTH($E45))/$G45,0)*$G45))&lt;T$3,EDATE($E45,MAX(0,ROUNDUP(((YEAR(T$3)-YEAR($E45))*12+MONTH(T$3)-MONTH($E45))/$G45,0)*$G45)+$G45),EDATE($E45,MAX(0,ROUNDUP(((YEAR(T$3)-YEAR($E45))*12+MONTH(T$3)-MONTH($E45))/$G45,0)*$G45)))&gt;=T$3,IF(EDATE($E45,MAX(0,ROUNDUP(((YEAR(T$3)-YEAR($E45))*12+MONTH(T$3)-MONTH($E45))/$G45,0)*$G45))&lt;T$3,EDATE($E45,MAX(0,ROUNDUP(((YEAR(T$3)-YEAR($E45))*12+MONTH(T$3)-MONTH($E45))/$G45,0)*$G45)+$G45),EDATE($E45,MAX(0,ROUNDUP(((YEAR(T$3)-YEAR($E45))*12+MONTH(T$3)-MONTH($E45))/$G45,0)*$G45)))&lt;=IF($F45="",T$4,MIN(T$4,$F45))),1,0)))))</f>
        <v>0</v>
      </c>
      <c r="U45" s="25" t="n">
        <f aca="false">IF(OR($C45="",$C45=0,$E45="",$B45="",$G45=-2),0,$C45*IF($G45=0,IF(IF($F45="",U$4,MIN(U$4,$F45))&lt;$E45,0,MAX(0,INT((IF($F45="",U$4,MIN(U$4,$F45))-$E45)/7)+1-MAX(0,ROUNDUP((U$3-$E45)/7,0)))),IF($G45=101,(AND(EOMONTH(U$3,0)&gt;=MAX(U$3,$E45),EOMONTH(U$3,0)&lt;=IF($F45="",U$4,MIN(U$4,$F45)))*1+AND(EOMONTH(U$4,0)&lt;&gt;EOMONTH(U$3,0),EOMONTH(U$4,0)&gt;=MAX(U$3,$E45),EOMONTH(U$4,0)&lt;=IF($F45="",U$4,MIN(U$4,$F45)))*1),IF($G45=102,(AND(WORKDAY(EOMONTH(U$3,0)+1,-3)&gt;=MAX(U$3,$E45),WORKDAY(EOMONTH(U$3,0)+1,-3)&lt;=IF($F45="",U$4,MIN(U$4,$F45)))*1+AND(WORKDAY(EOMONTH(U$4,0)+1,-3)&lt;&gt;WORKDAY(EOMONTH(U$3,0)+1,-3),WORKDAY(EOMONTH(U$4,0)+1,-3)&gt;=MAX(U$3,$E45),WORKDAY(EOMONTH(U$4,0)+1,-3)&lt;=IF($F45="",U$4,MIN(U$4,$F45)))*1),IF(AND(IF(EDATE($E45,MAX(0,ROUNDUP(((YEAR(U$3)-YEAR($E45))*12+MONTH(U$3)-MONTH($E45))/$G45,0)*$G45))&lt;U$3,EDATE($E45,MAX(0,ROUNDUP(((YEAR(U$3)-YEAR($E45))*12+MONTH(U$3)-MONTH($E45))/$G45,0)*$G45)+$G45),EDATE($E45,MAX(0,ROUNDUP(((YEAR(U$3)-YEAR($E45))*12+MONTH(U$3)-MONTH($E45))/$G45,0)*$G45)))&gt;=U$3,IF(EDATE($E45,MAX(0,ROUNDUP(((YEAR(U$3)-YEAR($E45))*12+MONTH(U$3)-MONTH($E45))/$G45,0)*$G45))&lt;U$3,EDATE($E45,MAX(0,ROUNDUP(((YEAR(U$3)-YEAR($E45))*12+MONTH(U$3)-MONTH($E45))/$G45,0)*$G45)+$G45),EDATE($E45,MAX(0,ROUNDUP(((YEAR(U$3)-YEAR($E45))*12+MONTH(U$3)-MONTH($E45))/$G45,0)*$G45)))&lt;=IF($F45="",U$4,MIN(U$4,$F45))),1,0)))))</f>
        <v>0</v>
      </c>
      <c r="V45" s="25" t="n">
        <f aca="false">IF(OR($C45="",$C45=0,$E45="",$B45="",$G45=-2),0,$C45*IF($G45=0,IF(IF($F45="",V$4,MIN(V$4,$F45))&lt;$E45,0,MAX(0,INT((IF($F45="",V$4,MIN(V$4,$F45))-$E45)/7)+1-MAX(0,ROUNDUP((V$3-$E45)/7,0)))),IF($G45=101,(AND(EOMONTH(V$3,0)&gt;=MAX(V$3,$E45),EOMONTH(V$3,0)&lt;=IF($F45="",V$4,MIN(V$4,$F45)))*1+AND(EOMONTH(V$4,0)&lt;&gt;EOMONTH(V$3,0),EOMONTH(V$4,0)&gt;=MAX(V$3,$E45),EOMONTH(V$4,0)&lt;=IF($F45="",V$4,MIN(V$4,$F45)))*1),IF($G45=102,(AND(WORKDAY(EOMONTH(V$3,0)+1,-3)&gt;=MAX(V$3,$E45),WORKDAY(EOMONTH(V$3,0)+1,-3)&lt;=IF($F45="",V$4,MIN(V$4,$F45)))*1+AND(WORKDAY(EOMONTH(V$4,0)+1,-3)&lt;&gt;WORKDAY(EOMONTH(V$3,0)+1,-3),WORKDAY(EOMONTH(V$4,0)+1,-3)&gt;=MAX(V$3,$E45),WORKDAY(EOMONTH(V$4,0)+1,-3)&lt;=IF($F45="",V$4,MIN(V$4,$F45)))*1),IF(AND(IF(EDATE($E45,MAX(0,ROUNDUP(((YEAR(V$3)-YEAR($E45))*12+MONTH(V$3)-MONTH($E45))/$G45,0)*$G45))&lt;V$3,EDATE($E45,MAX(0,ROUNDUP(((YEAR(V$3)-YEAR($E45))*12+MONTH(V$3)-MONTH($E45))/$G45,0)*$G45)+$G45),EDATE($E45,MAX(0,ROUNDUP(((YEAR(V$3)-YEAR($E45))*12+MONTH(V$3)-MONTH($E45))/$G45,0)*$G45)))&gt;=V$3,IF(EDATE($E45,MAX(0,ROUNDUP(((YEAR(V$3)-YEAR($E45))*12+MONTH(V$3)-MONTH($E45))/$G45,0)*$G45))&lt;V$3,EDATE($E45,MAX(0,ROUNDUP(((YEAR(V$3)-YEAR($E45))*12+MONTH(V$3)-MONTH($E45))/$G45,0)*$G45)+$G45),EDATE($E45,MAX(0,ROUNDUP(((YEAR(V$3)-YEAR($E45))*12+MONTH(V$3)-MONTH($E45))/$G45,0)*$G45)))&lt;=IF($F45="",V$4,MIN(V$4,$F45))),1,0)))))</f>
        <v>0</v>
      </c>
      <c r="W45" s="25" t="n">
        <f aca="false">IF(OR($C45="",$C45=0,$E45="",$B45="",$G45=-2),0,$C45*IF($G45=0,IF(IF($F45="",W$4,MIN(W$4,$F45))&lt;$E45,0,MAX(0,INT((IF($F45="",W$4,MIN(W$4,$F45))-$E45)/7)+1-MAX(0,ROUNDUP((W$3-$E45)/7,0)))),IF($G45=101,(AND(EOMONTH(W$3,0)&gt;=MAX(W$3,$E45),EOMONTH(W$3,0)&lt;=IF($F45="",W$4,MIN(W$4,$F45)))*1+AND(EOMONTH(W$4,0)&lt;&gt;EOMONTH(W$3,0),EOMONTH(W$4,0)&gt;=MAX(W$3,$E45),EOMONTH(W$4,0)&lt;=IF($F45="",W$4,MIN(W$4,$F45)))*1),IF($G45=102,(AND(WORKDAY(EOMONTH(W$3,0)+1,-3)&gt;=MAX(W$3,$E45),WORKDAY(EOMONTH(W$3,0)+1,-3)&lt;=IF($F45="",W$4,MIN(W$4,$F45)))*1+AND(WORKDAY(EOMONTH(W$4,0)+1,-3)&lt;&gt;WORKDAY(EOMONTH(W$3,0)+1,-3),WORKDAY(EOMONTH(W$4,0)+1,-3)&gt;=MAX(W$3,$E45),WORKDAY(EOMONTH(W$4,0)+1,-3)&lt;=IF($F45="",W$4,MIN(W$4,$F45)))*1),IF(AND(IF(EDATE($E45,MAX(0,ROUNDUP(((YEAR(W$3)-YEAR($E45))*12+MONTH(W$3)-MONTH($E45))/$G45,0)*$G45))&lt;W$3,EDATE($E45,MAX(0,ROUNDUP(((YEAR(W$3)-YEAR($E45))*12+MONTH(W$3)-MONTH($E45))/$G45,0)*$G45)+$G45),EDATE($E45,MAX(0,ROUNDUP(((YEAR(W$3)-YEAR($E45))*12+MONTH(W$3)-MONTH($E45))/$G45,0)*$G45)))&gt;=W$3,IF(EDATE($E45,MAX(0,ROUNDUP(((YEAR(W$3)-YEAR($E45))*12+MONTH(W$3)-MONTH($E45))/$G45,0)*$G45))&lt;W$3,EDATE($E45,MAX(0,ROUNDUP(((YEAR(W$3)-YEAR($E45))*12+MONTH(W$3)-MONTH($E45))/$G45,0)*$G45)+$G45),EDATE($E45,MAX(0,ROUNDUP(((YEAR(W$3)-YEAR($E45))*12+MONTH(W$3)-MONTH($E45))/$G45,0)*$G45)))&lt;=IF($F45="",W$4,MIN(W$4,$F45))),1,0)))))</f>
        <v>0</v>
      </c>
      <c r="X45" s="25" t="n">
        <f aca="false">IF(OR($C45="",$C45=0,$E45="",$B45="",$G45=-2),0,$C45*IF($G45=0,IF(IF($F45="",X$4,MIN(X$4,$F45))&lt;$E45,0,MAX(0,INT((IF($F45="",X$4,MIN(X$4,$F45))-$E45)/7)+1-MAX(0,ROUNDUP((X$3-$E45)/7,0)))),IF($G45=101,(AND(EOMONTH(X$3,0)&gt;=MAX(X$3,$E45),EOMONTH(X$3,0)&lt;=IF($F45="",X$4,MIN(X$4,$F45)))*1+AND(EOMONTH(X$4,0)&lt;&gt;EOMONTH(X$3,0),EOMONTH(X$4,0)&gt;=MAX(X$3,$E45),EOMONTH(X$4,0)&lt;=IF($F45="",X$4,MIN(X$4,$F45)))*1),IF($G45=102,(AND(WORKDAY(EOMONTH(X$3,0)+1,-3)&gt;=MAX(X$3,$E45),WORKDAY(EOMONTH(X$3,0)+1,-3)&lt;=IF($F45="",X$4,MIN(X$4,$F45)))*1+AND(WORKDAY(EOMONTH(X$4,0)+1,-3)&lt;&gt;WORKDAY(EOMONTH(X$3,0)+1,-3),WORKDAY(EOMONTH(X$4,0)+1,-3)&gt;=MAX(X$3,$E45),WORKDAY(EOMONTH(X$4,0)+1,-3)&lt;=IF($F45="",X$4,MIN(X$4,$F45)))*1),IF(AND(IF(EDATE($E45,MAX(0,ROUNDUP(((YEAR(X$3)-YEAR($E45))*12+MONTH(X$3)-MONTH($E45))/$G45,0)*$G45))&lt;X$3,EDATE($E45,MAX(0,ROUNDUP(((YEAR(X$3)-YEAR($E45))*12+MONTH(X$3)-MONTH($E45))/$G45,0)*$G45)+$G45),EDATE($E45,MAX(0,ROUNDUP(((YEAR(X$3)-YEAR($E45))*12+MONTH(X$3)-MONTH($E45))/$G45,0)*$G45)))&gt;=X$3,IF(EDATE($E45,MAX(0,ROUNDUP(((YEAR(X$3)-YEAR($E45))*12+MONTH(X$3)-MONTH($E45))/$G45,0)*$G45))&lt;X$3,EDATE($E45,MAX(0,ROUNDUP(((YEAR(X$3)-YEAR($E45))*12+MONTH(X$3)-MONTH($E45))/$G45,0)*$G45)+$G45),EDATE($E45,MAX(0,ROUNDUP(((YEAR(X$3)-YEAR($E45))*12+MONTH(X$3)-MONTH($E45))/$G45,0)*$G45)))&lt;=IF($F45="",X$4,MIN(X$4,$F45))),1,0)))))</f>
        <v>0</v>
      </c>
      <c r="Y45" s="25" t="n">
        <f aca="false">IF(OR($C45="",$C45=0,$E45="",$B45="",$G45=-2),0,$C45*IF($G45=0,IF(IF($F45="",Y$4,MIN(Y$4,$F45))&lt;$E45,0,MAX(0,INT((IF($F45="",Y$4,MIN(Y$4,$F45))-$E45)/7)+1-MAX(0,ROUNDUP((Y$3-$E45)/7,0)))),IF($G45=101,(AND(EOMONTH(Y$3,0)&gt;=MAX(Y$3,$E45),EOMONTH(Y$3,0)&lt;=IF($F45="",Y$4,MIN(Y$4,$F45)))*1+AND(EOMONTH(Y$4,0)&lt;&gt;EOMONTH(Y$3,0),EOMONTH(Y$4,0)&gt;=MAX(Y$3,$E45),EOMONTH(Y$4,0)&lt;=IF($F45="",Y$4,MIN(Y$4,$F45)))*1),IF($G45=102,(AND(WORKDAY(EOMONTH(Y$3,0)+1,-3)&gt;=MAX(Y$3,$E45),WORKDAY(EOMONTH(Y$3,0)+1,-3)&lt;=IF($F45="",Y$4,MIN(Y$4,$F45)))*1+AND(WORKDAY(EOMONTH(Y$4,0)+1,-3)&lt;&gt;WORKDAY(EOMONTH(Y$3,0)+1,-3),WORKDAY(EOMONTH(Y$4,0)+1,-3)&gt;=MAX(Y$3,$E45),WORKDAY(EOMONTH(Y$4,0)+1,-3)&lt;=IF($F45="",Y$4,MIN(Y$4,$F45)))*1),IF(AND(IF(EDATE($E45,MAX(0,ROUNDUP(((YEAR(Y$3)-YEAR($E45))*12+MONTH(Y$3)-MONTH($E45))/$G45,0)*$G45))&lt;Y$3,EDATE($E45,MAX(0,ROUNDUP(((YEAR(Y$3)-YEAR($E45))*12+MONTH(Y$3)-MONTH($E45))/$G45,0)*$G45)+$G45),EDATE($E45,MAX(0,ROUNDUP(((YEAR(Y$3)-YEAR($E45))*12+MONTH(Y$3)-MONTH($E45))/$G45,0)*$G45)))&gt;=Y$3,IF(EDATE($E45,MAX(0,ROUNDUP(((YEAR(Y$3)-YEAR($E45))*12+MONTH(Y$3)-MONTH($E45))/$G45,0)*$G45))&lt;Y$3,EDATE($E45,MAX(0,ROUNDUP(((YEAR(Y$3)-YEAR($E45))*12+MONTH(Y$3)-MONTH($E45))/$G45,0)*$G45)+$G45),EDATE($E45,MAX(0,ROUNDUP(((YEAR(Y$3)-YEAR($E45))*12+MONTH(Y$3)-MONTH($E45))/$G45,0)*$G45)))&lt;=IF($F45="",Y$4,MIN(Y$4,$F45))),1,0)))))</f>
        <v>0</v>
      </c>
      <c r="Z45" s="25" t="n">
        <f aca="false">IF(OR($C45="",$C45=0,$E45="",$B45="",$G45=-2),0,$C45*IF($G45=0,IF(IF($F45="",Z$4,MIN(Z$4,$F45))&lt;$E45,0,MAX(0,INT((IF($F45="",Z$4,MIN(Z$4,$F45))-$E45)/7)+1-MAX(0,ROUNDUP((Z$3-$E45)/7,0)))),IF($G45=101,(AND(EOMONTH(Z$3,0)&gt;=MAX(Z$3,$E45),EOMONTH(Z$3,0)&lt;=IF($F45="",Z$4,MIN(Z$4,$F45)))*1+AND(EOMONTH(Z$4,0)&lt;&gt;EOMONTH(Z$3,0),EOMONTH(Z$4,0)&gt;=MAX(Z$3,$E45),EOMONTH(Z$4,0)&lt;=IF($F45="",Z$4,MIN(Z$4,$F45)))*1),IF($G45=102,(AND(WORKDAY(EOMONTH(Z$3,0)+1,-3)&gt;=MAX(Z$3,$E45),WORKDAY(EOMONTH(Z$3,0)+1,-3)&lt;=IF($F45="",Z$4,MIN(Z$4,$F45)))*1+AND(WORKDAY(EOMONTH(Z$4,0)+1,-3)&lt;&gt;WORKDAY(EOMONTH(Z$3,0)+1,-3),WORKDAY(EOMONTH(Z$4,0)+1,-3)&gt;=MAX(Z$3,$E45),WORKDAY(EOMONTH(Z$4,0)+1,-3)&lt;=IF($F45="",Z$4,MIN(Z$4,$F45)))*1),IF(AND(IF(EDATE($E45,MAX(0,ROUNDUP(((YEAR(Z$3)-YEAR($E45))*12+MONTH(Z$3)-MONTH($E45))/$G45,0)*$G45))&lt;Z$3,EDATE($E45,MAX(0,ROUNDUP(((YEAR(Z$3)-YEAR($E45))*12+MONTH(Z$3)-MONTH($E45))/$G45,0)*$G45)+$G45),EDATE($E45,MAX(0,ROUNDUP(((YEAR(Z$3)-YEAR($E45))*12+MONTH(Z$3)-MONTH($E45))/$G45,0)*$G45)))&gt;=Z$3,IF(EDATE($E45,MAX(0,ROUNDUP(((YEAR(Z$3)-YEAR($E45))*12+MONTH(Z$3)-MONTH($E45))/$G45,0)*$G45))&lt;Z$3,EDATE($E45,MAX(0,ROUNDUP(((YEAR(Z$3)-YEAR($E45))*12+MONTH(Z$3)-MONTH($E45))/$G45,0)*$G45)+$G45),EDATE($E45,MAX(0,ROUNDUP(((YEAR(Z$3)-YEAR($E45))*12+MONTH(Z$3)-MONTH($E45))/$G45,0)*$G45)))&lt;=IF($F45="",Z$4,MIN(Z$4,$F45))),1,0)))))</f>
        <v>0</v>
      </c>
      <c r="AA45" s="25" t="n">
        <f aca="false">IF(OR($C45="",$C45=0,$E45="",$B45="",$G45=-2),0,$C45*IF($G45=0,IF(IF($F45="",AA$4,MIN(AA$4,$F45))&lt;$E45,0,MAX(0,INT((IF($F45="",AA$4,MIN(AA$4,$F45))-$E45)/7)+1-MAX(0,ROUNDUP((AA$3-$E45)/7,0)))),IF($G45=101,(AND(EOMONTH(AA$3,0)&gt;=MAX(AA$3,$E45),EOMONTH(AA$3,0)&lt;=IF($F45="",AA$4,MIN(AA$4,$F45)))*1+AND(EOMONTH(AA$4,0)&lt;&gt;EOMONTH(AA$3,0),EOMONTH(AA$4,0)&gt;=MAX(AA$3,$E45),EOMONTH(AA$4,0)&lt;=IF($F45="",AA$4,MIN(AA$4,$F45)))*1),IF($G45=102,(AND(WORKDAY(EOMONTH(AA$3,0)+1,-3)&gt;=MAX(AA$3,$E45),WORKDAY(EOMONTH(AA$3,0)+1,-3)&lt;=IF($F45="",AA$4,MIN(AA$4,$F45)))*1+AND(WORKDAY(EOMONTH(AA$4,0)+1,-3)&lt;&gt;WORKDAY(EOMONTH(AA$3,0)+1,-3),WORKDAY(EOMONTH(AA$4,0)+1,-3)&gt;=MAX(AA$3,$E45),WORKDAY(EOMONTH(AA$4,0)+1,-3)&lt;=IF($F45="",AA$4,MIN(AA$4,$F45)))*1),IF(AND(IF(EDATE($E45,MAX(0,ROUNDUP(((YEAR(AA$3)-YEAR($E45))*12+MONTH(AA$3)-MONTH($E45))/$G45,0)*$G45))&lt;AA$3,EDATE($E45,MAX(0,ROUNDUP(((YEAR(AA$3)-YEAR($E45))*12+MONTH(AA$3)-MONTH($E45))/$G45,0)*$G45)+$G45),EDATE($E45,MAX(0,ROUNDUP(((YEAR(AA$3)-YEAR($E45))*12+MONTH(AA$3)-MONTH($E45))/$G45,0)*$G45)))&gt;=AA$3,IF(EDATE($E45,MAX(0,ROUNDUP(((YEAR(AA$3)-YEAR($E45))*12+MONTH(AA$3)-MONTH($E45))/$G45,0)*$G45))&lt;AA$3,EDATE($E45,MAX(0,ROUNDUP(((YEAR(AA$3)-YEAR($E45))*12+MONTH(AA$3)-MONTH($E45))/$G45,0)*$G45)+$G45),EDATE($E45,MAX(0,ROUNDUP(((YEAR(AA$3)-YEAR($E45))*12+MONTH(AA$3)-MONTH($E45))/$G45,0)*$G45)))&lt;=IF($F45="",AA$4,MIN(AA$4,$F45))),1,0)))))</f>
        <v>0</v>
      </c>
      <c r="AB45" s="25" t="n">
        <f aca="false">IF(OR($C45="",$C45=0,$E45="",$B45="",$G45=-2),0,$C45*IF($G45=0,IF(IF($F45="",AB$4,MIN(AB$4,$F45))&lt;$E45,0,MAX(0,INT((IF($F45="",AB$4,MIN(AB$4,$F45))-$E45)/7)+1-MAX(0,ROUNDUP((AB$3-$E45)/7,0)))),IF($G45=101,(AND(EOMONTH(AB$3,0)&gt;=MAX(AB$3,$E45),EOMONTH(AB$3,0)&lt;=IF($F45="",AB$4,MIN(AB$4,$F45)))*1+AND(EOMONTH(AB$4,0)&lt;&gt;EOMONTH(AB$3,0),EOMONTH(AB$4,0)&gt;=MAX(AB$3,$E45),EOMONTH(AB$4,0)&lt;=IF($F45="",AB$4,MIN(AB$4,$F45)))*1),IF($G45=102,(AND(WORKDAY(EOMONTH(AB$3,0)+1,-3)&gt;=MAX(AB$3,$E45),WORKDAY(EOMONTH(AB$3,0)+1,-3)&lt;=IF($F45="",AB$4,MIN(AB$4,$F45)))*1+AND(WORKDAY(EOMONTH(AB$4,0)+1,-3)&lt;&gt;WORKDAY(EOMONTH(AB$3,0)+1,-3),WORKDAY(EOMONTH(AB$4,0)+1,-3)&gt;=MAX(AB$3,$E45),WORKDAY(EOMONTH(AB$4,0)+1,-3)&lt;=IF($F45="",AB$4,MIN(AB$4,$F45)))*1),IF(AND(IF(EDATE($E45,MAX(0,ROUNDUP(((YEAR(AB$3)-YEAR($E45))*12+MONTH(AB$3)-MONTH($E45))/$G45,0)*$G45))&lt;AB$3,EDATE($E45,MAX(0,ROUNDUP(((YEAR(AB$3)-YEAR($E45))*12+MONTH(AB$3)-MONTH($E45))/$G45,0)*$G45)+$G45),EDATE($E45,MAX(0,ROUNDUP(((YEAR(AB$3)-YEAR($E45))*12+MONTH(AB$3)-MONTH($E45))/$G45,0)*$G45)))&gt;=AB$3,IF(EDATE($E45,MAX(0,ROUNDUP(((YEAR(AB$3)-YEAR($E45))*12+MONTH(AB$3)-MONTH($E45))/$G45,0)*$G45))&lt;AB$3,EDATE($E45,MAX(0,ROUNDUP(((YEAR(AB$3)-YEAR($E45))*12+MONTH(AB$3)-MONTH($E45))/$G45,0)*$G45)+$G45),EDATE($E45,MAX(0,ROUNDUP(((YEAR(AB$3)-YEAR($E45))*12+MONTH(AB$3)-MONTH($E45))/$G45,0)*$G45)))&lt;=IF($F45="",AB$4,MIN(AB$4,$F45))),1,0)))))</f>
        <v>0</v>
      </c>
      <c r="AC45" s="25" t="n">
        <f aca="false">IF(OR($C45="",$C45=0,$E45="",$B45="",$G45=-2),0,$C45*IF($G45=0,IF(IF($F45="",AC$4,MIN(AC$4,$F45))&lt;$E45,0,MAX(0,INT((IF($F45="",AC$4,MIN(AC$4,$F45))-$E45)/7)+1-MAX(0,ROUNDUP((AC$3-$E45)/7,0)))),IF($G45=101,(AND(EOMONTH(AC$3,0)&gt;=MAX(AC$3,$E45),EOMONTH(AC$3,0)&lt;=IF($F45="",AC$4,MIN(AC$4,$F45)))*1+AND(EOMONTH(AC$4,0)&lt;&gt;EOMONTH(AC$3,0),EOMONTH(AC$4,0)&gt;=MAX(AC$3,$E45),EOMONTH(AC$4,0)&lt;=IF($F45="",AC$4,MIN(AC$4,$F45)))*1),IF($G45=102,(AND(WORKDAY(EOMONTH(AC$3,0)+1,-3)&gt;=MAX(AC$3,$E45),WORKDAY(EOMONTH(AC$3,0)+1,-3)&lt;=IF($F45="",AC$4,MIN(AC$4,$F45)))*1+AND(WORKDAY(EOMONTH(AC$4,0)+1,-3)&lt;&gt;WORKDAY(EOMONTH(AC$3,0)+1,-3),WORKDAY(EOMONTH(AC$4,0)+1,-3)&gt;=MAX(AC$3,$E45),WORKDAY(EOMONTH(AC$4,0)+1,-3)&lt;=IF($F45="",AC$4,MIN(AC$4,$F45)))*1),IF(AND(IF(EDATE($E45,MAX(0,ROUNDUP(((YEAR(AC$3)-YEAR($E45))*12+MONTH(AC$3)-MONTH($E45))/$G45,0)*$G45))&lt;AC$3,EDATE($E45,MAX(0,ROUNDUP(((YEAR(AC$3)-YEAR($E45))*12+MONTH(AC$3)-MONTH($E45))/$G45,0)*$G45)+$G45),EDATE($E45,MAX(0,ROUNDUP(((YEAR(AC$3)-YEAR($E45))*12+MONTH(AC$3)-MONTH($E45))/$G45,0)*$G45)))&gt;=AC$3,IF(EDATE($E45,MAX(0,ROUNDUP(((YEAR(AC$3)-YEAR($E45))*12+MONTH(AC$3)-MONTH($E45))/$G45,0)*$G45))&lt;AC$3,EDATE($E45,MAX(0,ROUNDUP(((YEAR(AC$3)-YEAR($E45))*12+MONTH(AC$3)-MONTH($E45))/$G45,0)*$G45)+$G45),EDATE($E45,MAX(0,ROUNDUP(((YEAR(AC$3)-YEAR($E45))*12+MONTH(AC$3)-MONTH($E45))/$G45,0)*$G45)))&lt;=IF($F45="",AC$4,MIN(AC$4,$F45))),1,0)))))</f>
        <v>0</v>
      </c>
      <c r="AD45" s="25" t="n">
        <f aca="false">IF(OR($C45="",$C45=0,$E45="",$B45="",$G45=-2),0,$C45*IF($G45=0,IF(IF($F45="",AD$4,MIN(AD$4,$F45))&lt;$E45,0,MAX(0,INT((IF($F45="",AD$4,MIN(AD$4,$F45))-$E45)/7)+1-MAX(0,ROUNDUP((AD$3-$E45)/7,0)))),IF($G45=101,(AND(EOMONTH(AD$3,0)&gt;=MAX(AD$3,$E45),EOMONTH(AD$3,0)&lt;=IF($F45="",AD$4,MIN(AD$4,$F45)))*1+AND(EOMONTH(AD$4,0)&lt;&gt;EOMONTH(AD$3,0),EOMONTH(AD$4,0)&gt;=MAX(AD$3,$E45),EOMONTH(AD$4,0)&lt;=IF($F45="",AD$4,MIN(AD$4,$F45)))*1),IF($G45=102,(AND(WORKDAY(EOMONTH(AD$3,0)+1,-3)&gt;=MAX(AD$3,$E45),WORKDAY(EOMONTH(AD$3,0)+1,-3)&lt;=IF($F45="",AD$4,MIN(AD$4,$F45)))*1+AND(WORKDAY(EOMONTH(AD$4,0)+1,-3)&lt;&gt;WORKDAY(EOMONTH(AD$3,0)+1,-3),WORKDAY(EOMONTH(AD$4,0)+1,-3)&gt;=MAX(AD$3,$E45),WORKDAY(EOMONTH(AD$4,0)+1,-3)&lt;=IF($F45="",AD$4,MIN(AD$4,$F45)))*1),IF(AND(IF(EDATE($E45,MAX(0,ROUNDUP(((YEAR(AD$3)-YEAR($E45))*12+MONTH(AD$3)-MONTH($E45))/$G45,0)*$G45))&lt;AD$3,EDATE($E45,MAX(0,ROUNDUP(((YEAR(AD$3)-YEAR($E45))*12+MONTH(AD$3)-MONTH($E45))/$G45,0)*$G45)+$G45),EDATE($E45,MAX(0,ROUNDUP(((YEAR(AD$3)-YEAR($E45))*12+MONTH(AD$3)-MONTH($E45))/$G45,0)*$G45)))&gt;=AD$3,IF(EDATE($E45,MAX(0,ROUNDUP(((YEAR(AD$3)-YEAR($E45))*12+MONTH(AD$3)-MONTH($E45))/$G45,0)*$G45))&lt;AD$3,EDATE($E45,MAX(0,ROUNDUP(((YEAR(AD$3)-YEAR($E45))*12+MONTH(AD$3)-MONTH($E45))/$G45,0)*$G45)+$G45),EDATE($E45,MAX(0,ROUNDUP(((YEAR(AD$3)-YEAR($E45))*12+MONTH(AD$3)-MONTH($E45))/$G45,0)*$G45)))&lt;=IF($F45="",AD$4,MIN(AD$4,$F45))),1,0)))))</f>
        <v>0</v>
      </c>
      <c r="AE45" s="25" t="n">
        <f aca="false">IF(OR($C45="",$C45=0,$E45="",$B45="",$G45=-2),0,$C45*IF($G45=0,IF(IF($F45="",AE$4,MIN(AE$4,$F45))&lt;$E45,0,MAX(0,INT((IF($F45="",AE$4,MIN(AE$4,$F45))-$E45)/7)+1-MAX(0,ROUNDUP((AE$3-$E45)/7,0)))),IF($G45=101,(AND(EOMONTH(AE$3,0)&gt;=MAX(AE$3,$E45),EOMONTH(AE$3,0)&lt;=IF($F45="",AE$4,MIN(AE$4,$F45)))*1+AND(EOMONTH(AE$4,0)&lt;&gt;EOMONTH(AE$3,0),EOMONTH(AE$4,0)&gt;=MAX(AE$3,$E45),EOMONTH(AE$4,0)&lt;=IF($F45="",AE$4,MIN(AE$4,$F45)))*1),IF($G45=102,(AND(WORKDAY(EOMONTH(AE$3,0)+1,-3)&gt;=MAX(AE$3,$E45),WORKDAY(EOMONTH(AE$3,0)+1,-3)&lt;=IF($F45="",AE$4,MIN(AE$4,$F45)))*1+AND(WORKDAY(EOMONTH(AE$4,0)+1,-3)&lt;&gt;WORKDAY(EOMONTH(AE$3,0)+1,-3),WORKDAY(EOMONTH(AE$4,0)+1,-3)&gt;=MAX(AE$3,$E45),WORKDAY(EOMONTH(AE$4,0)+1,-3)&lt;=IF($F45="",AE$4,MIN(AE$4,$F45)))*1),IF(AND(IF(EDATE($E45,MAX(0,ROUNDUP(((YEAR(AE$3)-YEAR($E45))*12+MONTH(AE$3)-MONTH($E45))/$G45,0)*$G45))&lt;AE$3,EDATE($E45,MAX(0,ROUNDUP(((YEAR(AE$3)-YEAR($E45))*12+MONTH(AE$3)-MONTH($E45))/$G45,0)*$G45)+$G45),EDATE($E45,MAX(0,ROUNDUP(((YEAR(AE$3)-YEAR($E45))*12+MONTH(AE$3)-MONTH($E45))/$G45,0)*$G45)))&gt;=AE$3,IF(EDATE($E45,MAX(0,ROUNDUP(((YEAR(AE$3)-YEAR($E45))*12+MONTH(AE$3)-MONTH($E45))/$G45,0)*$G45))&lt;AE$3,EDATE($E45,MAX(0,ROUNDUP(((YEAR(AE$3)-YEAR($E45))*12+MONTH(AE$3)-MONTH($E45))/$G45,0)*$G45)+$G45),EDATE($E45,MAX(0,ROUNDUP(((YEAR(AE$3)-YEAR($E45))*12+MONTH(AE$3)-MONTH($E45))/$G45,0)*$G45)))&lt;=IF($F45="",AE$4,MIN(AE$4,$F45))),1,0)))))</f>
        <v>0</v>
      </c>
      <c r="AF45" s="25" t="n">
        <f aca="false">IF(OR($C45="",$C45=0,$E45="",$B45="",$G45=-2),0,$C45*IF($G45=0,IF(IF($F45="",AF$4,MIN(AF$4,$F45))&lt;$E45,0,MAX(0,INT((IF($F45="",AF$4,MIN(AF$4,$F45))-$E45)/7)+1-MAX(0,ROUNDUP((AF$3-$E45)/7,0)))),IF($G45=101,(AND(EOMONTH(AF$3,0)&gt;=MAX(AF$3,$E45),EOMONTH(AF$3,0)&lt;=IF($F45="",AF$4,MIN(AF$4,$F45)))*1+AND(EOMONTH(AF$4,0)&lt;&gt;EOMONTH(AF$3,0),EOMONTH(AF$4,0)&gt;=MAX(AF$3,$E45),EOMONTH(AF$4,0)&lt;=IF($F45="",AF$4,MIN(AF$4,$F45)))*1),IF($G45=102,(AND(WORKDAY(EOMONTH(AF$3,0)+1,-3)&gt;=MAX(AF$3,$E45),WORKDAY(EOMONTH(AF$3,0)+1,-3)&lt;=IF($F45="",AF$4,MIN(AF$4,$F45)))*1+AND(WORKDAY(EOMONTH(AF$4,0)+1,-3)&lt;&gt;WORKDAY(EOMONTH(AF$3,0)+1,-3),WORKDAY(EOMONTH(AF$4,0)+1,-3)&gt;=MAX(AF$3,$E45),WORKDAY(EOMONTH(AF$4,0)+1,-3)&lt;=IF($F45="",AF$4,MIN(AF$4,$F45)))*1),IF(AND(IF(EDATE($E45,MAX(0,ROUNDUP(((YEAR(AF$3)-YEAR($E45))*12+MONTH(AF$3)-MONTH($E45))/$G45,0)*$G45))&lt;AF$3,EDATE($E45,MAX(0,ROUNDUP(((YEAR(AF$3)-YEAR($E45))*12+MONTH(AF$3)-MONTH($E45))/$G45,0)*$G45)+$G45),EDATE($E45,MAX(0,ROUNDUP(((YEAR(AF$3)-YEAR($E45))*12+MONTH(AF$3)-MONTH($E45))/$G45,0)*$G45)))&gt;=AF$3,IF(EDATE($E45,MAX(0,ROUNDUP(((YEAR(AF$3)-YEAR($E45))*12+MONTH(AF$3)-MONTH($E45))/$G45,0)*$G45))&lt;AF$3,EDATE($E45,MAX(0,ROUNDUP(((YEAR(AF$3)-YEAR($E45))*12+MONTH(AF$3)-MONTH($E45))/$G45,0)*$G45)+$G45),EDATE($E45,MAX(0,ROUNDUP(((YEAR(AF$3)-YEAR($E45))*12+MONTH(AF$3)-MONTH($E45))/$G45,0)*$G45)))&lt;=IF($F45="",AF$4,MIN(AF$4,$F45))),1,0)))))</f>
        <v>0</v>
      </c>
    </row>
    <row r="46" customFormat="false" ht="15" hidden="false" customHeight="false" outlineLevel="0" collapsed="false">
      <c r="A46" s="5"/>
      <c r="B46" s="5"/>
      <c r="C46" s="8"/>
      <c r="D46" s="5"/>
      <c r="E46" s="7"/>
      <c r="F46" s="7"/>
      <c r="G46" s="24" t="n">
        <f aca="false">IFERROR(INDEX(Listen!$E$2:$E$8,MATCH(D46,Listen!$D$2:$D$8,0)),-2)</f>
        <v>-2</v>
      </c>
      <c r="H46" s="25" t="n">
        <f aca="false">IF(OR($C46="",$C46=0,$E46="",$B46="",$G46=-2),0,$C46*IF($G46=0,IF(IF($F46="",H$4,MIN(H$4,$F46))&lt;$E46,0,MAX(0,INT((IF($F46="",H$4,MIN(H$4,$F46))-$E46)/7)+1-MAX(0,ROUNDUP((H$3-$E46)/7,0)))),IF($G46=101,(AND(EOMONTH(H$3,0)&gt;=MAX(H$3,$E46),EOMONTH(H$3,0)&lt;=IF($F46="",H$4,MIN(H$4,$F46)))*1+AND(EOMONTH(H$4,0)&lt;&gt;EOMONTH(H$3,0),EOMONTH(H$4,0)&gt;=MAX(H$3,$E46),EOMONTH(H$4,0)&lt;=IF($F46="",H$4,MIN(H$4,$F46)))*1),IF($G46=102,(AND(WORKDAY(EOMONTH(H$3,0)+1,-3)&gt;=MAX(H$3,$E46),WORKDAY(EOMONTH(H$3,0)+1,-3)&lt;=IF($F46="",H$4,MIN(H$4,$F46)))*1+AND(WORKDAY(EOMONTH(H$4,0)+1,-3)&lt;&gt;WORKDAY(EOMONTH(H$3,0)+1,-3),WORKDAY(EOMONTH(H$4,0)+1,-3)&gt;=MAX(H$3,$E46),WORKDAY(EOMONTH(H$4,0)+1,-3)&lt;=IF($F46="",H$4,MIN(H$4,$F46)))*1),IF(AND(IF(EDATE($E46,MAX(0,ROUNDUP(((YEAR(H$3)-YEAR($E46))*12+MONTH(H$3)-MONTH($E46))/$G46,0)*$G46))&lt;H$3,EDATE($E46,MAX(0,ROUNDUP(((YEAR(H$3)-YEAR($E46))*12+MONTH(H$3)-MONTH($E46))/$G46,0)*$G46)+$G46),EDATE($E46,MAX(0,ROUNDUP(((YEAR(H$3)-YEAR($E46))*12+MONTH(H$3)-MONTH($E46))/$G46,0)*$G46)))&gt;=H$3,IF(EDATE($E46,MAX(0,ROUNDUP(((YEAR(H$3)-YEAR($E46))*12+MONTH(H$3)-MONTH($E46))/$G46,0)*$G46))&lt;H$3,EDATE($E46,MAX(0,ROUNDUP(((YEAR(H$3)-YEAR($E46))*12+MONTH(H$3)-MONTH($E46))/$G46,0)*$G46)+$G46),EDATE($E46,MAX(0,ROUNDUP(((YEAR(H$3)-YEAR($E46))*12+MONTH(H$3)-MONTH($E46))/$G46,0)*$G46)))&lt;=IF($F46="",H$4,MIN(H$4,$F46))),1,0)))))</f>
        <v>0</v>
      </c>
      <c r="I46" s="25" t="n">
        <f aca="false">IF(OR($C46="",$C46=0,$E46="",$B46="",$G46=-2),0,$C46*IF($G46=0,IF(IF($F46="",I$4,MIN(I$4,$F46))&lt;$E46,0,MAX(0,INT((IF($F46="",I$4,MIN(I$4,$F46))-$E46)/7)+1-MAX(0,ROUNDUP((I$3-$E46)/7,0)))),IF($G46=101,(AND(EOMONTH(I$3,0)&gt;=MAX(I$3,$E46),EOMONTH(I$3,0)&lt;=IF($F46="",I$4,MIN(I$4,$F46)))*1+AND(EOMONTH(I$4,0)&lt;&gt;EOMONTH(I$3,0),EOMONTH(I$4,0)&gt;=MAX(I$3,$E46),EOMONTH(I$4,0)&lt;=IF($F46="",I$4,MIN(I$4,$F46)))*1),IF($G46=102,(AND(WORKDAY(EOMONTH(I$3,0)+1,-3)&gt;=MAX(I$3,$E46),WORKDAY(EOMONTH(I$3,0)+1,-3)&lt;=IF($F46="",I$4,MIN(I$4,$F46)))*1+AND(WORKDAY(EOMONTH(I$4,0)+1,-3)&lt;&gt;WORKDAY(EOMONTH(I$3,0)+1,-3),WORKDAY(EOMONTH(I$4,0)+1,-3)&gt;=MAX(I$3,$E46),WORKDAY(EOMONTH(I$4,0)+1,-3)&lt;=IF($F46="",I$4,MIN(I$4,$F46)))*1),IF(AND(IF(EDATE($E46,MAX(0,ROUNDUP(((YEAR(I$3)-YEAR($E46))*12+MONTH(I$3)-MONTH($E46))/$G46,0)*$G46))&lt;I$3,EDATE($E46,MAX(0,ROUNDUP(((YEAR(I$3)-YEAR($E46))*12+MONTH(I$3)-MONTH($E46))/$G46,0)*$G46)+$G46),EDATE($E46,MAX(0,ROUNDUP(((YEAR(I$3)-YEAR($E46))*12+MONTH(I$3)-MONTH($E46))/$G46,0)*$G46)))&gt;=I$3,IF(EDATE($E46,MAX(0,ROUNDUP(((YEAR(I$3)-YEAR($E46))*12+MONTH(I$3)-MONTH($E46))/$G46,0)*$G46))&lt;I$3,EDATE($E46,MAX(0,ROUNDUP(((YEAR(I$3)-YEAR($E46))*12+MONTH(I$3)-MONTH($E46))/$G46,0)*$G46)+$G46),EDATE($E46,MAX(0,ROUNDUP(((YEAR(I$3)-YEAR($E46))*12+MONTH(I$3)-MONTH($E46))/$G46,0)*$G46)))&lt;=IF($F46="",I$4,MIN(I$4,$F46))),1,0)))))</f>
        <v>0</v>
      </c>
      <c r="J46" s="25" t="n">
        <f aca="false">IF(OR($C46="",$C46=0,$E46="",$B46="",$G46=-2),0,$C46*IF($G46=0,IF(IF($F46="",J$4,MIN(J$4,$F46))&lt;$E46,0,MAX(0,INT((IF($F46="",J$4,MIN(J$4,$F46))-$E46)/7)+1-MAX(0,ROUNDUP((J$3-$E46)/7,0)))),IF($G46=101,(AND(EOMONTH(J$3,0)&gt;=MAX(J$3,$E46),EOMONTH(J$3,0)&lt;=IF($F46="",J$4,MIN(J$4,$F46)))*1+AND(EOMONTH(J$4,0)&lt;&gt;EOMONTH(J$3,0),EOMONTH(J$4,0)&gt;=MAX(J$3,$E46),EOMONTH(J$4,0)&lt;=IF($F46="",J$4,MIN(J$4,$F46)))*1),IF($G46=102,(AND(WORKDAY(EOMONTH(J$3,0)+1,-3)&gt;=MAX(J$3,$E46),WORKDAY(EOMONTH(J$3,0)+1,-3)&lt;=IF($F46="",J$4,MIN(J$4,$F46)))*1+AND(WORKDAY(EOMONTH(J$4,0)+1,-3)&lt;&gt;WORKDAY(EOMONTH(J$3,0)+1,-3),WORKDAY(EOMONTH(J$4,0)+1,-3)&gt;=MAX(J$3,$E46),WORKDAY(EOMONTH(J$4,0)+1,-3)&lt;=IF($F46="",J$4,MIN(J$4,$F46)))*1),IF(AND(IF(EDATE($E46,MAX(0,ROUNDUP(((YEAR(J$3)-YEAR($E46))*12+MONTH(J$3)-MONTH($E46))/$G46,0)*$G46))&lt;J$3,EDATE($E46,MAX(0,ROUNDUP(((YEAR(J$3)-YEAR($E46))*12+MONTH(J$3)-MONTH($E46))/$G46,0)*$G46)+$G46),EDATE($E46,MAX(0,ROUNDUP(((YEAR(J$3)-YEAR($E46))*12+MONTH(J$3)-MONTH($E46))/$G46,0)*$G46)))&gt;=J$3,IF(EDATE($E46,MAX(0,ROUNDUP(((YEAR(J$3)-YEAR($E46))*12+MONTH(J$3)-MONTH($E46))/$G46,0)*$G46))&lt;J$3,EDATE($E46,MAX(0,ROUNDUP(((YEAR(J$3)-YEAR($E46))*12+MONTH(J$3)-MONTH($E46))/$G46,0)*$G46)+$G46),EDATE($E46,MAX(0,ROUNDUP(((YEAR(J$3)-YEAR($E46))*12+MONTH(J$3)-MONTH($E46))/$G46,0)*$G46)))&lt;=IF($F46="",J$4,MIN(J$4,$F46))),1,0)))))</f>
        <v>0</v>
      </c>
      <c r="K46" s="25" t="n">
        <f aca="false">IF(OR($C46="",$C46=0,$E46="",$B46="",$G46=-2),0,$C46*IF($G46=0,IF(IF($F46="",K$4,MIN(K$4,$F46))&lt;$E46,0,MAX(0,INT((IF($F46="",K$4,MIN(K$4,$F46))-$E46)/7)+1-MAX(0,ROUNDUP((K$3-$E46)/7,0)))),IF($G46=101,(AND(EOMONTH(K$3,0)&gt;=MAX(K$3,$E46),EOMONTH(K$3,0)&lt;=IF($F46="",K$4,MIN(K$4,$F46)))*1+AND(EOMONTH(K$4,0)&lt;&gt;EOMONTH(K$3,0),EOMONTH(K$4,0)&gt;=MAX(K$3,$E46),EOMONTH(K$4,0)&lt;=IF($F46="",K$4,MIN(K$4,$F46)))*1),IF($G46=102,(AND(WORKDAY(EOMONTH(K$3,0)+1,-3)&gt;=MAX(K$3,$E46),WORKDAY(EOMONTH(K$3,0)+1,-3)&lt;=IF($F46="",K$4,MIN(K$4,$F46)))*1+AND(WORKDAY(EOMONTH(K$4,0)+1,-3)&lt;&gt;WORKDAY(EOMONTH(K$3,0)+1,-3),WORKDAY(EOMONTH(K$4,0)+1,-3)&gt;=MAX(K$3,$E46),WORKDAY(EOMONTH(K$4,0)+1,-3)&lt;=IF($F46="",K$4,MIN(K$4,$F46)))*1),IF(AND(IF(EDATE($E46,MAX(0,ROUNDUP(((YEAR(K$3)-YEAR($E46))*12+MONTH(K$3)-MONTH($E46))/$G46,0)*$G46))&lt;K$3,EDATE($E46,MAX(0,ROUNDUP(((YEAR(K$3)-YEAR($E46))*12+MONTH(K$3)-MONTH($E46))/$G46,0)*$G46)+$G46),EDATE($E46,MAX(0,ROUNDUP(((YEAR(K$3)-YEAR($E46))*12+MONTH(K$3)-MONTH($E46))/$G46,0)*$G46)))&gt;=K$3,IF(EDATE($E46,MAX(0,ROUNDUP(((YEAR(K$3)-YEAR($E46))*12+MONTH(K$3)-MONTH($E46))/$G46,0)*$G46))&lt;K$3,EDATE($E46,MAX(0,ROUNDUP(((YEAR(K$3)-YEAR($E46))*12+MONTH(K$3)-MONTH($E46))/$G46,0)*$G46)+$G46),EDATE($E46,MAX(0,ROUNDUP(((YEAR(K$3)-YEAR($E46))*12+MONTH(K$3)-MONTH($E46))/$G46,0)*$G46)))&lt;=IF($F46="",K$4,MIN(K$4,$F46))),1,0)))))</f>
        <v>0</v>
      </c>
      <c r="L46" s="25" t="n">
        <f aca="false">IF(OR($C46="",$C46=0,$E46="",$B46="",$G46=-2),0,$C46*IF($G46=0,IF(IF($F46="",L$4,MIN(L$4,$F46))&lt;$E46,0,MAX(0,INT((IF($F46="",L$4,MIN(L$4,$F46))-$E46)/7)+1-MAX(0,ROUNDUP((L$3-$E46)/7,0)))),IF($G46=101,(AND(EOMONTH(L$3,0)&gt;=MAX(L$3,$E46),EOMONTH(L$3,0)&lt;=IF($F46="",L$4,MIN(L$4,$F46)))*1+AND(EOMONTH(L$4,0)&lt;&gt;EOMONTH(L$3,0),EOMONTH(L$4,0)&gt;=MAX(L$3,$E46),EOMONTH(L$4,0)&lt;=IF($F46="",L$4,MIN(L$4,$F46)))*1),IF($G46=102,(AND(WORKDAY(EOMONTH(L$3,0)+1,-3)&gt;=MAX(L$3,$E46),WORKDAY(EOMONTH(L$3,0)+1,-3)&lt;=IF($F46="",L$4,MIN(L$4,$F46)))*1+AND(WORKDAY(EOMONTH(L$4,0)+1,-3)&lt;&gt;WORKDAY(EOMONTH(L$3,0)+1,-3),WORKDAY(EOMONTH(L$4,0)+1,-3)&gt;=MAX(L$3,$E46),WORKDAY(EOMONTH(L$4,0)+1,-3)&lt;=IF($F46="",L$4,MIN(L$4,$F46)))*1),IF(AND(IF(EDATE($E46,MAX(0,ROUNDUP(((YEAR(L$3)-YEAR($E46))*12+MONTH(L$3)-MONTH($E46))/$G46,0)*$G46))&lt;L$3,EDATE($E46,MAX(0,ROUNDUP(((YEAR(L$3)-YEAR($E46))*12+MONTH(L$3)-MONTH($E46))/$G46,0)*$G46)+$G46),EDATE($E46,MAX(0,ROUNDUP(((YEAR(L$3)-YEAR($E46))*12+MONTH(L$3)-MONTH($E46))/$G46,0)*$G46)))&gt;=L$3,IF(EDATE($E46,MAX(0,ROUNDUP(((YEAR(L$3)-YEAR($E46))*12+MONTH(L$3)-MONTH($E46))/$G46,0)*$G46))&lt;L$3,EDATE($E46,MAX(0,ROUNDUP(((YEAR(L$3)-YEAR($E46))*12+MONTH(L$3)-MONTH($E46))/$G46,0)*$G46)+$G46),EDATE($E46,MAX(0,ROUNDUP(((YEAR(L$3)-YEAR($E46))*12+MONTH(L$3)-MONTH($E46))/$G46,0)*$G46)))&lt;=IF($F46="",L$4,MIN(L$4,$F46))),1,0)))))</f>
        <v>0</v>
      </c>
      <c r="M46" s="25" t="n">
        <f aca="false">IF(OR($C46="",$C46=0,$E46="",$B46="",$G46=-2),0,$C46*IF($G46=0,IF(IF($F46="",M$4,MIN(M$4,$F46))&lt;$E46,0,MAX(0,INT((IF($F46="",M$4,MIN(M$4,$F46))-$E46)/7)+1-MAX(0,ROUNDUP((M$3-$E46)/7,0)))),IF($G46=101,(AND(EOMONTH(M$3,0)&gt;=MAX(M$3,$E46),EOMONTH(M$3,0)&lt;=IF($F46="",M$4,MIN(M$4,$F46)))*1+AND(EOMONTH(M$4,0)&lt;&gt;EOMONTH(M$3,0),EOMONTH(M$4,0)&gt;=MAX(M$3,$E46),EOMONTH(M$4,0)&lt;=IF($F46="",M$4,MIN(M$4,$F46)))*1),IF($G46=102,(AND(WORKDAY(EOMONTH(M$3,0)+1,-3)&gt;=MAX(M$3,$E46),WORKDAY(EOMONTH(M$3,0)+1,-3)&lt;=IF($F46="",M$4,MIN(M$4,$F46)))*1+AND(WORKDAY(EOMONTH(M$4,0)+1,-3)&lt;&gt;WORKDAY(EOMONTH(M$3,0)+1,-3),WORKDAY(EOMONTH(M$4,0)+1,-3)&gt;=MAX(M$3,$E46),WORKDAY(EOMONTH(M$4,0)+1,-3)&lt;=IF($F46="",M$4,MIN(M$4,$F46)))*1),IF(AND(IF(EDATE($E46,MAX(0,ROUNDUP(((YEAR(M$3)-YEAR($E46))*12+MONTH(M$3)-MONTH($E46))/$G46,0)*$G46))&lt;M$3,EDATE($E46,MAX(0,ROUNDUP(((YEAR(M$3)-YEAR($E46))*12+MONTH(M$3)-MONTH($E46))/$G46,0)*$G46)+$G46),EDATE($E46,MAX(0,ROUNDUP(((YEAR(M$3)-YEAR($E46))*12+MONTH(M$3)-MONTH($E46))/$G46,0)*$G46)))&gt;=M$3,IF(EDATE($E46,MAX(0,ROUNDUP(((YEAR(M$3)-YEAR($E46))*12+MONTH(M$3)-MONTH($E46))/$G46,0)*$G46))&lt;M$3,EDATE($E46,MAX(0,ROUNDUP(((YEAR(M$3)-YEAR($E46))*12+MONTH(M$3)-MONTH($E46))/$G46,0)*$G46)+$G46),EDATE($E46,MAX(0,ROUNDUP(((YEAR(M$3)-YEAR($E46))*12+MONTH(M$3)-MONTH($E46))/$G46,0)*$G46)))&lt;=IF($F46="",M$4,MIN(M$4,$F46))),1,0)))))</f>
        <v>0</v>
      </c>
      <c r="N46" s="25" t="n">
        <f aca="false">IF(OR($C46="",$C46=0,$E46="",$B46="",$G46=-2),0,$C46*IF($G46=0,IF(IF($F46="",N$4,MIN(N$4,$F46))&lt;$E46,0,MAX(0,INT((IF($F46="",N$4,MIN(N$4,$F46))-$E46)/7)+1-MAX(0,ROUNDUP((N$3-$E46)/7,0)))),IF($G46=101,(AND(EOMONTH(N$3,0)&gt;=MAX(N$3,$E46),EOMONTH(N$3,0)&lt;=IF($F46="",N$4,MIN(N$4,$F46)))*1+AND(EOMONTH(N$4,0)&lt;&gt;EOMONTH(N$3,0),EOMONTH(N$4,0)&gt;=MAX(N$3,$E46),EOMONTH(N$4,0)&lt;=IF($F46="",N$4,MIN(N$4,$F46)))*1),IF($G46=102,(AND(WORKDAY(EOMONTH(N$3,0)+1,-3)&gt;=MAX(N$3,$E46),WORKDAY(EOMONTH(N$3,0)+1,-3)&lt;=IF($F46="",N$4,MIN(N$4,$F46)))*1+AND(WORKDAY(EOMONTH(N$4,0)+1,-3)&lt;&gt;WORKDAY(EOMONTH(N$3,0)+1,-3),WORKDAY(EOMONTH(N$4,0)+1,-3)&gt;=MAX(N$3,$E46),WORKDAY(EOMONTH(N$4,0)+1,-3)&lt;=IF($F46="",N$4,MIN(N$4,$F46)))*1),IF(AND(IF(EDATE($E46,MAX(0,ROUNDUP(((YEAR(N$3)-YEAR($E46))*12+MONTH(N$3)-MONTH($E46))/$G46,0)*$G46))&lt;N$3,EDATE($E46,MAX(0,ROUNDUP(((YEAR(N$3)-YEAR($E46))*12+MONTH(N$3)-MONTH($E46))/$G46,0)*$G46)+$G46),EDATE($E46,MAX(0,ROUNDUP(((YEAR(N$3)-YEAR($E46))*12+MONTH(N$3)-MONTH($E46))/$G46,0)*$G46)))&gt;=N$3,IF(EDATE($E46,MAX(0,ROUNDUP(((YEAR(N$3)-YEAR($E46))*12+MONTH(N$3)-MONTH($E46))/$G46,0)*$G46))&lt;N$3,EDATE($E46,MAX(0,ROUNDUP(((YEAR(N$3)-YEAR($E46))*12+MONTH(N$3)-MONTH($E46))/$G46,0)*$G46)+$G46),EDATE($E46,MAX(0,ROUNDUP(((YEAR(N$3)-YEAR($E46))*12+MONTH(N$3)-MONTH($E46))/$G46,0)*$G46)))&lt;=IF($F46="",N$4,MIN(N$4,$F46))),1,0)))))</f>
        <v>0</v>
      </c>
      <c r="O46" s="25" t="n">
        <f aca="false">IF(OR($C46="",$C46=0,$E46="",$B46="",$G46=-2),0,$C46*IF($G46=0,IF(IF($F46="",O$4,MIN(O$4,$F46))&lt;$E46,0,MAX(0,INT((IF($F46="",O$4,MIN(O$4,$F46))-$E46)/7)+1-MAX(0,ROUNDUP((O$3-$E46)/7,0)))),IF($G46=101,(AND(EOMONTH(O$3,0)&gt;=MAX(O$3,$E46),EOMONTH(O$3,0)&lt;=IF($F46="",O$4,MIN(O$4,$F46)))*1+AND(EOMONTH(O$4,0)&lt;&gt;EOMONTH(O$3,0),EOMONTH(O$4,0)&gt;=MAX(O$3,$E46),EOMONTH(O$4,0)&lt;=IF($F46="",O$4,MIN(O$4,$F46)))*1),IF($G46=102,(AND(WORKDAY(EOMONTH(O$3,0)+1,-3)&gt;=MAX(O$3,$E46),WORKDAY(EOMONTH(O$3,0)+1,-3)&lt;=IF($F46="",O$4,MIN(O$4,$F46)))*1+AND(WORKDAY(EOMONTH(O$4,0)+1,-3)&lt;&gt;WORKDAY(EOMONTH(O$3,0)+1,-3),WORKDAY(EOMONTH(O$4,0)+1,-3)&gt;=MAX(O$3,$E46),WORKDAY(EOMONTH(O$4,0)+1,-3)&lt;=IF($F46="",O$4,MIN(O$4,$F46)))*1),IF(AND(IF(EDATE($E46,MAX(0,ROUNDUP(((YEAR(O$3)-YEAR($E46))*12+MONTH(O$3)-MONTH($E46))/$G46,0)*$G46))&lt;O$3,EDATE($E46,MAX(0,ROUNDUP(((YEAR(O$3)-YEAR($E46))*12+MONTH(O$3)-MONTH($E46))/$G46,0)*$G46)+$G46),EDATE($E46,MAX(0,ROUNDUP(((YEAR(O$3)-YEAR($E46))*12+MONTH(O$3)-MONTH($E46))/$G46,0)*$G46)))&gt;=O$3,IF(EDATE($E46,MAX(0,ROUNDUP(((YEAR(O$3)-YEAR($E46))*12+MONTH(O$3)-MONTH($E46))/$G46,0)*$G46))&lt;O$3,EDATE($E46,MAX(0,ROUNDUP(((YEAR(O$3)-YEAR($E46))*12+MONTH(O$3)-MONTH($E46))/$G46,0)*$G46)+$G46),EDATE($E46,MAX(0,ROUNDUP(((YEAR(O$3)-YEAR($E46))*12+MONTH(O$3)-MONTH($E46))/$G46,0)*$G46)))&lt;=IF($F46="",O$4,MIN(O$4,$F46))),1,0)))))</f>
        <v>0</v>
      </c>
      <c r="P46" s="25" t="n">
        <f aca="false">IF(OR($C46="",$C46=0,$E46="",$B46="",$G46=-2),0,$C46*IF($G46=0,IF(IF($F46="",P$4,MIN(P$4,$F46))&lt;$E46,0,MAX(0,INT((IF($F46="",P$4,MIN(P$4,$F46))-$E46)/7)+1-MAX(0,ROUNDUP((P$3-$E46)/7,0)))),IF($G46=101,(AND(EOMONTH(P$3,0)&gt;=MAX(P$3,$E46),EOMONTH(P$3,0)&lt;=IF($F46="",P$4,MIN(P$4,$F46)))*1+AND(EOMONTH(P$4,0)&lt;&gt;EOMONTH(P$3,0),EOMONTH(P$4,0)&gt;=MAX(P$3,$E46),EOMONTH(P$4,0)&lt;=IF($F46="",P$4,MIN(P$4,$F46)))*1),IF($G46=102,(AND(WORKDAY(EOMONTH(P$3,0)+1,-3)&gt;=MAX(P$3,$E46),WORKDAY(EOMONTH(P$3,0)+1,-3)&lt;=IF($F46="",P$4,MIN(P$4,$F46)))*1+AND(WORKDAY(EOMONTH(P$4,0)+1,-3)&lt;&gt;WORKDAY(EOMONTH(P$3,0)+1,-3),WORKDAY(EOMONTH(P$4,0)+1,-3)&gt;=MAX(P$3,$E46),WORKDAY(EOMONTH(P$4,0)+1,-3)&lt;=IF($F46="",P$4,MIN(P$4,$F46)))*1),IF(AND(IF(EDATE($E46,MAX(0,ROUNDUP(((YEAR(P$3)-YEAR($E46))*12+MONTH(P$3)-MONTH($E46))/$G46,0)*$G46))&lt;P$3,EDATE($E46,MAX(0,ROUNDUP(((YEAR(P$3)-YEAR($E46))*12+MONTH(P$3)-MONTH($E46))/$G46,0)*$G46)+$G46),EDATE($E46,MAX(0,ROUNDUP(((YEAR(P$3)-YEAR($E46))*12+MONTH(P$3)-MONTH($E46))/$G46,0)*$G46)))&gt;=P$3,IF(EDATE($E46,MAX(0,ROUNDUP(((YEAR(P$3)-YEAR($E46))*12+MONTH(P$3)-MONTH($E46))/$G46,0)*$G46))&lt;P$3,EDATE($E46,MAX(0,ROUNDUP(((YEAR(P$3)-YEAR($E46))*12+MONTH(P$3)-MONTH($E46))/$G46,0)*$G46)+$G46),EDATE($E46,MAX(0,ROUNDUP(((YEAR(P$3)-YEAR($E46))*12+MONTH(P$3)-MONTH($E46))/$G46,0)*$G46)))&lt;=IF($F46="",P$4,MIN(P$4,$F46))),1,0)))))</f>
        <v>0</v>
      </c>
      <c r="Q46" s="25" t="n">
        <f aca="false">IF(OR($C46="",$C46=0,$E46="",$B46="",$G46=-2),0,$C46*IF($G46=0,IF(IF($F46="",Q$4,MIN(Q$4,$F46))&lt;$E46,0,MAX(0,INT((IF($F46="",Q$4,MIN(Q$4,$F46))-$E46)/7)+1-MAX(0,ROUNDUP((Q$3-$E46)/7,0)))),IF($G46=101,(AND(EOMONTH(Q$3,0)&gt;=MAX(Q$3,$E46),EOMONTH(Q$3,0)&lt;=IF($F46="",Q$4,MIN(Q$4,$F46)))*1+AND(EOMONTH(Q$4,0)&lt;&gt;EOMONTH(Q$3,0),EOMONTH(Q$4,0)&gt;=MAX(Q$3,$E46),EOMONTH(Q$4,0)&lt;=IF($F46="",Q$4,MIN(Q$4,$F46)))*1),IF($G46=102,(AND(WORKDAY(EOMONTH(Q$3,0)+1,-3)&gt;=MAX(Q$3,$E46),WORKDAY(EOMONTH(Q$3,0)+1,-3)&lt;=IF($F46="",Q$4,MIN(Q$4,$F46)))*1+AND(WORKDAY(EOMONTH(Q$4,0)+1,-3)&lt;&gt;WORKDAY(EOMONTH(Q$3,0)+1,-3),WORKDAY(EOMONTH(Q$4,0)+1,-3)&gt;=MAX(Q$3,$E46),WORKDAY(EOMONTH(Q$4,0)+1,-3)&lt;=IF($F46="",Q$4,MIN(Q$4,$F46)))*1),IF(AND(IF(EDATE($E46,MAX(0,ROUNDUP(((YEAR(Q$3)-YEAR($E46))*12+MONTH(Q$3)-MONTH($E46))/$G46,0)*$G46))&lt;Q$3,EDATE($E46,MAX(0,ROUNDUP(((YEAR(Q$3)-YEAR($E46))*12+MONTH(Q$3)-MONTH($E46))/$G46,0)*$G46)+$G46),EDATE($E46,MAX(0,ROUNDUP(((YEAR(Q$3)-YEAR($E46))*12+MONTH(Q$3)-MONTH($E46))/$G46,0)*$G46)))&gt;=Q$3,IF(EDATE($E46,MAX(0,ROUNDUP(((YEAR(Q$3)-YEAR($E46))*12+MONTH(Q$3)-MONTH($E46))/$G46,0)*$G46))&lt;Q$3,EDATE($E46,MAX(0,ROUNDUP(((YEAR(Q$3)-YEAR($E46))*12+MONTH(Q$3)-MONTH($E46))/$G46,0)*$G46)+$G46),EDATE($E46,MAX(0,ROUNDUP(((YEAR(Q$3)-YEAR($E46))*12+MONTH(Q$3)-MONTH($E46))/$G46,0)*$G46)))&lt;=IF($F46="",Q$4,MIN(Q$4,$F46))),1,0)))))</f>
        <v>0</v>
      </c>
      <c r="R46" s="25" t="n">
        <f aca="false">IF(OR($C46="",$C46=0,$E46="",$B46="",$G46=-2),0,$C46*IF($G46=0,IF(IF($F46="",R$4,MIN(R$4,$F46))&lt;$E46,0,MAX(0,INT((IF($F46="",R$4,MIN(R$4,$F46))-$E46)/7)+1-MAX(0,ROUNDUP((R$3-$E46)/7,0)))),IF($G46=101,(AND(EOMONTH(R$3,0)&gt;=MAX(R$3,$E46),EOMONTH(R$3,0)&lt;=IF($F46="",R$4,MIN(R$4,$F46)))*1+AND(EOMONTH(R$4,0)&lt;&gt;EOMONTH(R$3,0),EOMONTH(R$4,0)&gt;=MAX(R$3,$E46),EOMONTH(R$4,0)&lt;=IF($F46="",R$4,MIN(R$4,$F46)))*1),IF($G46=102,(AND(WORKDAY(EOMONTH(R$3,0)+1,-3)&gt;=MAX(R$3,$E46),WORKDAY(EOMONTH(R$3,0)+1,-3)&lt;=IF($F46="",R$4,MIN(R$4,$F46)))*1+AND(WORKDAY(EOMONTH(R$4,0)+1,-3)&lt;&gt;WORKDAY(EOMONTH(R$3,0)+1,-3),WORKDAY(EOMONTH(R$4,0)+1,-3)&gt;=MAX(R$3,$E46),WORKDAY(EOMONTH(R$4,0)+1,-3)&lt;=IF($F46="",R$4,MIN(R$4,$F46)))*1),IF(AND(IF(EDATE($E46,MAX(0,ROUNDUP(((YEAR(R$3)-YEAR($E46))*12+MONTH(R$3)-MONTH($E46))/$G46,0)*$G46))&lt;R$3,EDATE($E46,MAX(0,ROUNDUP(((YEAR(R$3)-YEAR($E46))*12+MONTH(R$3)-MONTH($E46))/$G46,0)*$G46)+$G46),EDATE($E46,MAX(0,ROUNDUP(((YEAR(R$3)-YEAR($E46))*12+MONTH(R$3)-MONTH($E46))/$G46,0)*$G46)))&gt;=R$3,IF(EDATE($E46,MAX(0,ROUNDUP(((YEAR(R$3)-YEAR($E46))*12+MONTH(R$3)-MONTH($E46))/$G46,0)*$G46))&lt;R$3,EDATE($E46,MAX(0,ROUNDUP(((YEAR(R$3)-YEAR($E46))*12+MONTH(R$3)-MONTH($E46))/$G46,0)*$G46)+$G46),EDATE($E46,MAX(0,ROUNDUP(((YEAR(R$3)-YEAR($E46))*12+MONTH(R$3)-MONTH($E46))/$G46,0)*$G46)))&lt;=IF($F46="",R$4,MIN(R$4,$F46))),1,0)))))</f>
        <v>0</v>
      </c>
      <c r="S46" s="25" t="n">
        <f aca="false">IF(OR($C46="",$C46=0,$E46="",$B46="",$G46=-2),0,$C46*IF($G46=0,IF(IF($F46="",S$4,MIN(S$4,$F46))&lt;$E46,0,MAX(0,INT((IF($F46="",S$4,MIN(S$4,$F46))-$E46)/7)+1-MAX(0,ROUNDUP((S$3-$E46)/7,0)))),IF($G46=101,(AND(EOMONTH(S$3,0)&gt;=MAX(S$3,$E46),EOMONTH(S$3,0)&lt;=IF($F46="",S$4,MIN(S$4,$F46)))*1+AND(EOMONTH(S$4,0)&lt;&gt;EOMONTH(S$3,0),EOMONTH(S$4,0)&gt;=MAX(S$3,$E46),EOMONTH(S$4,0)&lt;=IF($F46="",S$4,MIN(S$4,$F46)))*1),IF($G46=102,(AND(WORKDAY(EOMONTH(S$3,0)+1,-3)&gt;=MAX(S$3,$E46),WORKDAY(EOMONTH(S$3,0)+1,-3)&lt;=IF($F46="",S$4,MIN(S$4,$F46)))*1+AND(WORKDAY(EOMONTH(S$4,0)+1,-3)&lt;&gt;WORKDAY(EOMONTH(S$3,0)+1,-3),WORKDAY(EOMONTH(S$4,0)+1,-3)&gt;=MAX(S$3,$E46),WORKDAY(EOMONTH(S$4,0)+1,-3)&lt;=IF($F46="",S$4,MIN(S$4,$F46)))*1),IF(AND(IF(EDATE($E46,MAX(0,ROUNDUP(((YEAR(S$3)-YEAR($E46))*12+MONTH(S$3)-MONTH($E46))/$G46,0)*$G46))&lt;S$3,EDATE($E46,MAX(0,ROUNDUP(((YEAR(S$3)-YEAR($E46))*12+MONTH(S$3)-MONTH($E46))/$G46,0)*$G46)+$G46),EDATE($E46,MAX(0,ROUNDUP(((YEAR(S$3)-YEAR($E46))*12+MONTH(S$3)-MONTH($E46))/$G46,0)*$G46)))&gt;=S$3,IF(EDATE($E46,MAX(0,ROUNDUP(((YEAR(S$3)-YEAR($E46))*12+MONTH(S$3)-MONTH($E46))/$G46,0)*$G46))&lt;S$3,EDATE($E46,MAX(0,ROUNDUP(((YEAR(S$3)-YEAR($E46))*12+MONTH(S$3)-MONTH($E46))/$G46,0)*$G46)+$G46),EDATE($E46,MAX(0,ROUNDUP(((YEAR(S$3)-YEAR($E46))*12+MONTH(S$3)-MONTH($E46))/$G46,0)*$G46)))&lt;=IF($F46="",S$4,MIN(S$4,$F46))),1,0)))))</f>
        <v>0</v>
      </c>
      <c r="T46" s="25" t="n">
        <f aca="false">IF(OR($C46="",$C46=0,$E46="",$B46="",$G46=-2),0,$C46*IF($G46=0,IF(IF($F46="",T$4,MIN(T$4,$F46))&lt;$E46,0,MAX(0,INT((IF($F46="",T$4,MIN(T$4,$F46))-$E46)/7)+1-MAX(0,ROUNDUP((T$3-$E46)/7,0)))),IF($G46=101,(AND(EOMONTH(T$3,0)&gt;=MAX(T$3,$E46),EOMONTH(T$3,0)&lt;=IF($F46="",T$4,MIN(T$4,$F46)))*1+AND(EOMONTH(T$4,0)&lt;&gt;EOMONTH(T$3,0),EOMONTH(T$4,0)&gt;=MAX(T$3,$E46),EOMONTH(T$4,0)&lt;=IF($F46="",T$4,MIN(T$4,$F46)))*1),IF($G46=102,(AND(WORKDAY(EOMONTH(T$3,0)+1,-3)&gt;=MAX(T$3,$E46),WORKDAY(EOMONTH(T$3,0)+1,-3)&lt;=IF($F46="",T$4,MIN(T$4,$F46)))*1+AND(WORKDAY(EOMONTH(T$4,0)+1,-3)&lt;&gt;WORKDAY(EOMONTH(T$3,0)+1,-3),WORKDAY(EOMONTH(T$4,0)+1,-3)&gt;=MAX(T$3,$E46),WORKDAY(EOMONTH(T$4,0)+1,-3)&lt;=IF($F46="",T$4,MIN(T$4,$F46)))*1),IF(AND(IF(EDATE($E46,MAX(0,ROUNDUP(((YEAR(T$3)-YEAR($E46))*12+MONTH(T$3)-MONTH($E46))/$G46,0)*$G46))&lt;T$3,EDATE($E46,MAX(0,ROUNDUP(((YEAR(T$3)-YEAR($E46))*12+MONTH(T$3)-MONTH($E46))/$G46,0)*$G46)+$G46),EDATE($E46,MAX(0,ROUNDUP(((YEAR(T$3)-YEAR($E46))*12+MONTH(T$3)-MONTH($E46))/$G46,0)*$G46)))&gt;=T$3,IF(EDATE($E46,MAX(0,ROUNDUP(((YEAR(T$3)-YEAR($E46))*12+MONTH(T$3)-MONTH($E46))/$G46,0)*$G46))&lt;T$3,EDATE($E46,MAX(0,ROUNDUP(((YEAR(T$3)-YEAR($E46))*12+MONTH(T$3)-MONTH($E46))/$G46,0)*$G46)+$G46),EDATE($E46,MAX(0,ROUNDUP(((YEAR(T$3)-YEAR($E46))*12+MONTH(T$3)-MONTH($E46))/$G46,0)*$G46)))&lt;=IF($F46="",T$4,MIN(T$4,$F46))),1,0)))))</f>
        <v>0</v>
      </c>
      <c r="U46" s="25" t="n">
        <f aca="false">IF(OR($C46="",$C46=0,$E46="",$B46="",$G46=-2),0,$C46*IF($G46=0,IF(IF($F46="",U$4,MIN(U$4,$F46))&lt;$E46,0,MAX(0,INT((IF($F46="",U$4,MIN(U$4,$F46))-$E46)/7)+1-MAX(0,ROUNDUP((U$3-$E46)/7,0)))),IF($G46=101,(AND(EOMONTH(U$3,0)&gt;=MAX(U$3,$E46),EOMONTH(U$3,0)&lt;=IF($F46="",U$4,MIN(U$4,$F46)))*1+AND(EOMONTH(U$4,0)&lt;&gt;EOMONTH(U$3,0),EOMONTH(U$4,0)&gt;=MAX(U$3,$E46),EOMONTH(U$4,0)&lt;=IF($F46="",U$4,MIN(U$4,$F46)))*1),IF($G46=102,(AND(WORKDAY(EOMONTH(U$3,0)+1,-3)&gt;=MAX(U$3,$E46),WORKDAY(EOMONTH(U$3,0)+1,-3)&lt;=IF($F46="",U$4,MIN(U$4,$F46)))*1+AND(WORKDAY(EOMONTH(U$4,0)+1,-3)&lt;&gt;WORKDAY(EOMONTH(U$3,0)+1,-3),WORKDAY(EOMONTH(U$4,0)+1,-3)&gt;=MAX(U$3,$E46),WORKDAY(EOMONTH(U$4,0)+1,-3)&lt;=IF($F46="",U$4,MIN(U$4,$F46)))*1),IF(AND(IF(EDATE($E46,MAX(0,ROUNDUP(((YEAR(U$3)-YEAR($E46))*12+MONTH(U$3)-MONTH($E46))/$G46,0)*$G46))&lt;U$3,EDATE($E46,MAX(0,ROUNDUP(((YEAR(U$3)-YEAR($E46))*12+MONTH(U$3)-MONTH($E46))/$G46,0)*$G46)+$G46),EDATE($E46,MAX(0,ROUNDUP(((YEAR(U$3)-YEAR($E46))*12+MONTH(U$3)-MONTH($E46))/$G46,0)*$G46)))&gt;=U$3,IF(EDATE($E46,MAX(0,ROUNDUP(((YEAR(U$3)-YEAR($E46))*12+MONTH(U$3)-MONTH($E46))/$G46,0)*$G46))&lt;U$3,EDATE($E46,MAX(0,ROUNDUP(((YEAR(U$3)-YEAR($E46))*12+MONTH(U$3)-MONTH($E46))/$G46,0)*$G46)+$G46),EDATE($E46,MAX(0,ROUNDUP(((YEAR(U$3)-YEAR($E46))*12+MONTH(U$3)-MONTH($E46))/$G46,0)*$G46)))&lt;=IF($F46="",U$4,MIN(U$4,$F46))),1,0)))))</f>
        <v>0</v>
      </c>
      <c r="V46" s="25" t="n">
        <f aca="false">IF(OR($C46="",$C46=0,$E46="",$B46="",$G46=-2),0,$C46*IF($G46=0,IF(IF($F46="",V$4,MIN(V$4,$F46))&lt;$E46,0,MAX(0,INT((IF($F46="",V$4,MIN(V$4,$F46))-$E46)/7)+1-MAX(0,ROUNDUP((V$3-$E46)/7,0)))),IF($G46=101,(AND(EOMONTH(V$3,0)&gt;=MAX(V$3,$E46),EOMONTH(V$3,0)&lt;=IF($F46="",V$4,MIN(V$4,$F46)))*1+AND(EOMONTH(V$4,0)&lt;&gt;EOMONTH(V$3,0),EOMONTH(V$4,0)&gt;=MAX(V$3,$E46),EOMONTH(V$4,0)&lt;=IF($F46="",V$4,MIN(V$4,$F46)))*1),IF($G46=102,(AND(WORKDAY(EOMONTH(V$3,0)+1,-3)&gt;=MAX(V$3,$E46),WORKDAY(EOMONTH(V$3,0)+1,-3)&lt;=IF($F46="",V$4,MIN(V$4,$F46)))*1+AND(WORKDAY(EOMONTH(V$4,0)+1,-3)&lt;&gt;WORKDAY(EOMONTH(V$3,0)+1,-3),WORKDAY(EOMONTH(V$4,0)+1,-3)&gt;=MAX(V$3,$E46),WORKDAY(EOMONTH(V$4,0)+1,-3)&lt;=IF($F46="",V$4,MIN(V$4,$F46)))*1),IF(AND(IF(EDATE($E46,MAX(0,ROUNDUP(((YEAR(V$3)-YEAR($E46))*12+MONTH(V$3)-MONTH($E46))/$G46,0)*$G46))&lt;V$3,EDATE($E46,MAX(0,ROUNDUP(((YEAR(V$3)-YEAR($E46))*12+MONTH(V$3)-MONTH($E46))/$G46,0)*$G46)+$G46),EDATE($E46,MAX(0,ROUNDUP(((YEAR(V$3)-YEAR($E46))*12+MONTH(V$3)-MONTH($E46))/$G46,0)*$G46)))&gt;=V$3,IF(EDATE($E46,MAX(0,ROUNDUP(((YEAR(V$3)-YEAR($E46))*12+MONTH(V$3)-MONTH($E46))/$G46,0)*$G46))&lt;V$3,EDATE($E46,MAX(0,ROUNDUP(((YEAR(V$3)-YEAR($E46))*12+MONTH(V$3)-MONTH($E46))/$G46,0)*$G46)+$G46),EDATE($E46,MAX(0,ROUNDUP(((YEAR(V$3)-YEAR($E46))*12+MONTH(V$3)-MONTH($E46))/$G46,0)*$G46)))&lt;=IF($F46="",V$4,MIN(V$4,$F46))),1,0)))))</f>
        <v>0</v>
      </c>
      <c r="W46" s="25" t="n">
        <f aca="false">IF(OR($C46="",$C46=0,$E46="",$B46="",$G46=-2),0,$C46*IF($G46=0,IF(IF($F46="",W$4,MIN(W$4,$F46))&lt;$E46,0,MAX(0,INT((IF($F46="",W$4,MIN(W$4,$F46))-$E46)/7)+1-MAX(0,ROUNDUP((W$3-$E46)/7,0)))),IF($G46=101,(AND(EOMONTH(W$3,0)&gt;=MAX(W$3,$E46),EOMONTH(W$3,0)&lt;=IF($F46="",W$4,MIN(W$4,$F46)))*1+AND(EOMONTH(W$4,0)&lt;&gt;EOMONTH(W$3,0),EOMONTH(W$4,0)&gt;=MAX(W$3,$E46),EOMONTH(W$4,0)&lt;=IF($F46="",W$4,MIN(W$4,$F46)))*1),IF($G46=102,(AND(WORKDAY(EOMONTH(W$3,0)+1,-3)&gt;=MAX(W$3,$E46),WORKDAY(EOMONTH(W$3,0)+1,-3)&lt;=IF($F46="",W$4,MIN(W$4,$F46)))*1+AND(WORKDAY(EOMONTH(W$4,0)+1,-3)&lt;&gt;WORKDAY(EOMONTH(W$3,0)+1,-3),WORKDAY(EOMONTH(W$4,0)+1,-3)&gt;=MAX(W$3,$E46),WORKDAY(EOMONTH(W$4,0)+1,-3)&lt;=IF($F46="",W$4,MIN(W$4,$F46)))*1),IF(AND(IF(EDATE($E46,MAX(0,ROUNDUP(((YEAR(W$3)-YEAR($E46))*12+MONTH(W$3)-MONTH($E46))/$G46,0)*$G46))&lt;W$3,EDATE($E46,MAX(0,ROUNDUP(((YEAR(W$3)-YEAR($E46))*12+MONTH(W$3)-MONTH($E46))/$G46,0)*$G46)+$G46),EDATE($E46,MAX(0,ROUNDUP(((YEAR(W$3)-YEAR($E46))*12+MONTH(W$3)-MONTH($E46))/$G46,0)*$G46)))&gt;=W$3,IF(EDATE($E46,MAX(0,ROUNDUP(((YEAR(W$3)-YEAR($E46))*12+MONTH(W$3)-MONTH($E46))/$G46,0)*$G46))&lt;W$3,EDATE($E46,MAX(0,ROUNDUP(((YEAR(W$3)-YEAR($E46))*12+MONTH(W$3)-MONTH($E46))/$G46,0)*$G46)+$G46),EDATE($E46,MAX(0,ROUNDUP(((YEAR(W$3)-YEAR($E46))*12+MONTH(W$3)-MONTH($E46))/$G46,0)*$G46)))&lt;=IF($F46="",W$4,MIN(W$4,$F46))),1,0)))))</f>
        <v>0</v>
      </c>
      <c r="X46" s="25" t="n">
        <f aca="false">IF(OR($C46="",$C46=0,$E46="",$B46="",$G46=-2),0,$C46*IF($G46=0,IF(IF($F46="",X$4,MIN(X$4,$F46))&lt;$E46,0,MAX(0,INT((IF($F46="",X$4,MIN(X$4,$F46))-$E46)/7)+1-MAX(0,ROUNDUP((X$3-$E46)/7,0)))),IF($G46=101,(AND(EOMONTH(X$3,0)&gt;=MAX(X$3,$E46),EOMONTH(X$3,0)&lt;=IF($F46="",X$4,MIN(X$4,$F46)))*1+AND(EOMONTH(X$4,0)&lt;&gt;EOMONTH(X$3,0),EOMONTH(X$4,0)&gt;=MAX(X$3,$E46),EOMONTH(X$4,0)&lt;=IF($F46="",X$4,MIN(X$4,$F46)))*1),IF($G46=102,(AND(WORKDAY(EOMONTH(X$3,0)+1,-3)&gt;=MAX(X$3,$E46),WORKDAY(EOMONTH(X$3,0)+1,-3)&lt;=IF($F46="",X$4,MIN(X$4,$F46)))*1+AND(WORKDAY(EOMONTH(X$4,0)+1,-3)&lt;&gt;WORKDAY(EOMONTH(X$3,0)+1,-3),WORKDAY(EOMONTH(X$4,0)+1,-3)&gt;=MAX(X$3,$E46),WORKDAY(EOMONTH(X$4,0)+1,-3)&lt;=IF($F46="",X$4,MIN(X$4,$F46)))*1),IF(AND(IF(EDATE($E46,MAX(0,ROUNDUP(((YEAR(X$3)-YEAR($E46))*12+MONTH(X$3)-MONTH($E46))/$G46,0)*$G46))&lt;X$3,EDATE($E46,MAX(0,ROUNDUP(((YEAR(X$3)-YEAR($E46))*12+MONTH(X$3)-MONTH($E46))/$G46,0)*$G46)+$G46),EDATE($E46,MAX(0,ROUNDUP(((YEAR(X$3)-YEAR($E46))*12+MONTH(X$3)-MONTH($E46))/$G46,0)*$G46)))&gt;=X$3,IF(EDATE($E46,MAX(0,ROUNDUP(((YEAR(X$3)-YEAR($E46))*12+MONTH(X$3)-MONTH($E46))/$G46,0)*$G46))&lt;X$3,EDATE($E46,MAX(0,ROUNDUP(((YEAR(X$3)-YEAR($E46))*12+MONTH(X$3)-MONTH($E46))/$G46,0)*$G46)+$G46),EDATE($E46,MAX(0,ROUNDUP(((YEAR(X$3)-YEAR($E46))*12+MONTH(X$3)-MONTH($E46))/$G46,0)*$G46)))&lt;=IF($F46="",X$4,MIN(X$4,$F46))),1,0)))))</f>
        <v>0</v>
      </c>
      <c r="Y46" s="25" t="n">
        <f aca="false">IF(OR($C46="",$C46=0,$E46="",$B46="",$G46=-2),0,$C46*IF($G46=0,IF(IF($F46="",Y$4,MIN(Y$4,$F46))&lt;$E46,0,MAX(0,INT((IF($F46="",Y$4,MIN(Y$4,$F46))-$E46)/7)+1-MAX(0,ROUNDUP((Y$3-$E46)/7,0)))),IF($G46=101,(AND(EOMONTH(Y$3,0)&gt;=MAX(Y$3,$E46),EOMONTH(Y$3,0)&lt;=IF($F46="",Y$4,MIN(Y$4,$F46)))*1+AND(EOMONTH(Y$4,0)&lt;&gt;EOMONTH(Y$3,0),EOMONTH(Y$4,0)&gt;=MAX(Y$3,$E46),EOMONTH(Y$4,0)&lt;=IF($F46="",Y$4,MIN(Y$4,$F46)))*1),IF($G46=102,(AND(WORKDAY(EOMONTH(Y$3,0)+1,-3)&gt;=MAX(Y$3,$E46),WORKDAY(EOMONTH(Y$3,0)+1,-3)&lt;=IF($F46="",Y$4,MIN(Y$4,$F46)))*1+AND(WORKDAY(EOMONTH(Y$4,0)+1,-3)&lt;&gt;WORKDAY(EOMONTH(Y$3,0)+1,-3),WORKDAY(EOMONTH(Y$4,0)+1,-3)&gt;=MAX(Y$3,$E46),WORKDAY(EOMONTH(Y$4,0)+1,-3)&lt;=IF($F46="",Y$4,MIN(Y$4,$F46)))*1),IF(AND(IF(EDATE($E46,MAX(0,ROUNDUP(((YEAR(Y$3)-YEAR($E46))*12+MONTH(Y$3)-MONTH($E46))/$G46,0)*$G46))&lt;Y$3,EDATE($E46,MAX(0,ROUNDUP(((YEAR(Y$3)-YEAR($E46))*12+MONTH(Y$3)-MONTH($E46))/$G46,0)*$G46)+$G46),EDATE($E46,MAX(0,ROUNDUP(((YEAR(Y$3)-YEAR($E46))*12+MONTH(Y$3)-MONTH($E46))/$G46,0)*$G46)))&gt;=Y$3,IF(EDATE($E46,MAX(0,ROUNDUP(((YEAR(Y$3)-YEAR($E46))*12+MONTH(Y$3)-MONTH($E46))/$G46,0)*$G46))&lt;Y$3,EDATE($E46,MAX(0,ROUNDUP(((YEAR(Y$3)-YEAR($E46))*12+MONTH(Y$3)-MONTH($E46))/$G46,0)*$G46)+$G46),EDATE($E46,MAX(0,ROUNDUP(((YEAR(Y$3)-YEAR($E46))*12+MONTH(Y$3)-MONTH($E46))/$G46,0)*$G46)))&lt;=IF($F46="",Y$4,MIN(Y$4,$F46))),1,0)))))</f>
        <v>0</v>
      </c>
      <c r="Z46" s="25" t="n">
        <f aca="false">IF(OR($C46="",$C46=0,$E46="",$B46="",$G46=-2),0,$C46*IF($G46=0,IF(IF($F46="",Z$4,MIN(Z$4,$F46))&lt;$E46,0,MAX(0,INT((IF($F46="",Z$4,MIN(Z$4,$F46))-$E46)/7)+1-MAX(0,ROUNDUP((Z$3-$E46)/7,0)))),IF($G46=101,(AND(EOMONTH(Z$3,0)&gt;=MAX(Z$3,$E46),EOMONTH(Z$3,0)&lt;=IF($F46="",Z$4,MIN(Z$4,$F46)))*1+AND(EOMONTH(Z$4,0)&lt;&gt;EOMONTH(Z$3,0),EOMONTH(Z$4,0)&gt;=MAX(Z$3,$E46),EOMONTH(Z$4,0)&lt;=IF($F46="",Z$4,MIN(Z$4,$F46)))*1),IF($G46=102,(AND(WORKDAY(EOMONTH(Z$3,0)+1,-3)&gt;=MAX(Z$3,$E46),WORKDAY(EOMONTH(Z$3,0)+1,-3)&lt;=IF($F46="",Z$4,MIN(Z$4,$F46)))*1+AND(WORKDAY(EOMONTH(Z$4,0)+1,-3)&lt;&gt;WORKDAY(EOMONTH(Z$3,0)+1,-3),WORKDAY(EOMONTH(Z$4,0)+1,-3)&gt;=MAX(Z$3,$E46),WORKDAY(EOMONTH(Z$4,0)+1,-3)&lt;=IF($F46="",Z$4,MIN(Z$4,$F46)))*1),IF(AND(IF(EDATE($E46,MAX(0,ROUNDUP(((YEAR(Z$3)-YEAR($E46))*12+MONTH(Z$3)-MONTH($E46))/$G46,0)*$G46))&lt;Z$3,EDATE($E46,MAX(0,ROUNDUP(((YEAR(Z$3)-YEAR($E46))*12+MONTH(Z$3)-MONTH($E46))/$G46,0)*$G46)+$G46),EDATE($E46,MAX(0,ROUNDUP(((YEAR(Z$3)-YEAR($E46))*12+MONTH(Z$3)-MONTH($E46))/$G46,0)*$G46)))&gt;=Z$3,IF(EDATE($E46,MAX(0,ROUNDUP(((YEAR(Z$3)-YEAR($E46))*12+MONTH(Z$3)-MONTH($E46))/$G46,0)*$G46))&lt;Z$3,EDATE($E46,MAX(0,ROUNDUP(((YEAR(Z$3)-YEAR($E46))*12+MONTH(Z$3)-MONTH($E46))/$G46,0)*$G46)+$G46),EDATE($E46,MAX(0,ROUNDUP(((YEAR(Z$3)-YEAR($E46))*12+MONTH(Z$3)-MONTH($E46))/$G46,0)*$G46)))&lt;=IF($F46="",Z$4,MIN(Z$4,$F46))),1,0)))))</f>
        <v>0</v>
      </c>
      <c r="AA46" s="25" t="n">
        <f aca="false">IF(OR($C46="",$C46=0,$E46="",$B46="",$G46=-2),0,$C46*IF($G46=0,IF(IF($F46="",AA$4,MIN(AA$4,$F46))&lt;$E46,0,MAX(0,INT((IF($F46="",AA$4,MIN(AA$4,$F46))-$E46)/7)+1-MAX(0,ROUNDUP((AA$3-$E46)/7,0)))),IF($G46=101,(AND(EOMONTH(AA$3,0)&gt;=MAX(AA$3,$E46),EOMONTH(AA$3,0)&lt;=IF($F46="",AA$4,MIN(AA$4,$F46)))*1+AND(EOMONTH(AA$4,0)&lt;&gt;EOMONTH(AA$3,0),EOMONTH(AA$4,0)&gt;=MAX(AA$3,$E46),EOMONTH(AA$4,0)&lt;=IF($F46="",AA$4,MIN(AA$4,$F46)))*1),IF($G46=102,(AND(WORKDAY(EOMONTH(AA$3,0)+1,-3)&gt;=MAX(AA$3,$E46),WORKDAY(EOMONTH(AA$3,0)+1,-3)&lt;=IF($F46="",AA$4,MIN(AA$4,$F46)))*1+AND(WORKDAY(EOMONTH(AA$4,0)+1,-3)&lt;&gt;WORKDAY(EOMONTH(AA$3,0)+1,-3),WORKDAY(EOMONTH(AA$4,0)+1,-3)&gt;=MAX(AA$3,$E46),WORKDAY(EOMONTH(AA$4,0)+1,-3)&lt;=IF($F46="",AA$4,MIN(AA$4,$F46)))*1),IF(AND(IF(EDATE($E46,MAX(0,ROUNDUP(((YEAR(AA$3)-YEAR($E46))*12+MONTH(AA$3)-MONTH($E46))/$G46,0)*$G46))&lt;AA$3,EDATE($E46,MAX(0,ROUNDUP(((YEAR(AA$3)-YEAR($E46))*12+MONTH(AA$3)-MONTH($E46))/$G46,0)*$G46)+$G46),EDATE($E46,MAX(0,ROUNDUP(((YEAR(AA$3)-YEAR($E46))*12+MONTH(AA$3)-MONTH($E46))/$G46,0)*$G46)))&gt;=AA$3,IF(EDATE($E46,MAX(0,ROUNDUP(((YEAR(AA$3)-YEAR($E46))*12+MONTH(AA$3)-MONTH($E46))/$G46,0)*$G46))&lt;AA$3,EDATE($E46,MAX(0,ROUNDUP(((YEAR(AA$3)-YEAR($E46))*12+MONTH(AA$3)-MONTH($E46))/$G46,0)*$G46)+$G46),EDATE($E46,MAX(0,ROUNDUP(((YEAR(AA$3)-YEAR($E46))*12+MONTH(AA$3)-MONTH($E46))/$G46,0)*$G46)))&lt;=IF($F46="",AA$4,MIN(AA$4,$F46))),1,0)))))</f>
        <v>0</v>
      </c>
      <c r="AB46" s="25" t="n">
        <f aca="false">IF(OR($C46="",$C46=0,$E46="",$B46="",$G46=-2),0,$C46*IF($G46=0,IF(IF($F46="",AB$4,MIN(AB$4,$F46))&lt;$E46,0,MAX(0,INT((IF($F46="",AB$4,MIN(AB$4,$F46))-$E46)/7)+1-MAX(0,ROUNDUP((AB$3-$E46)/7,0)))),IF($G46=101,(AND(EOMONTH(AB$3,0)&gt;=MAX(AB$3,$E46),EOMONTH(AB$3,0)&lt;=IF($F46="",AB$4,MIN(AB$4,$F46)))*1+AND(EOMONTH(AB$4,0)&lt;&gt;EOMONTH(AB$3,0),EOMONTH(AB$4,0)&gt;=MAX(AB$3,$E46),EOMONTH(AB$4,0)&lt;=IF($F46="",AB$4,MIN(AB$4,$F46)))*1),IF($G46=102,(AND(WORKDAY(EOMONTH(AB$3,0)+1,-3)&gt;=MAX(AB$3,$E46),WORKDAY(EOMONTH(AB$3,0)+1,-3)&lt;=IF($F46="",AB$4,MIN(AB$4,$F46)))*1+AND(WORKDAY(EOMONTH(AB$4,0)+1,-3)&lt;&gt;WORKDAY(EOMONTH(AB$3,0)+1,-3),WORKDAY(EOMONTH(AB$4,0)+1,-3)&gt;=MAX(AB$3,$E46),WORKDAY(EOMONTH(AB$4,0)+1,-3)&lt;=IF($F46="",AB$4,MIN(AB$4,$F46)))*1),IF(AND(IF(EDATE($E46,MAX(0,ROUNDUP(((YEAR(AB$3)-YEAR($E46))*12+MONTH(AB$3)-MONTH($E46))/$G46,0)*$G46))&lt;AB$3,EDATE($E46,MAX(0,ROUNDUP(((YEAR(AB$3)-YEAR($E46))*12+MONTH(AB$3)-MONTH($E46))/$G46,0)*$G46)+$G46),EDATE($E46,MAX(0,ROUNDUP(((YEAR(AB$3)-YEAR($E46))*12+MONTH(AB$3)-MONTH($E46))/$G46,0)*$G46)))&gt;=AB$3,IF(EDATE($E46,MAX(0,ROUNDUP(((YEAR(AB$3)-YEAR($E46))*12+MONTH(AB$3)-MONTH($E46))/$G46,0)*$G46))&lt;AB$3,EDATE($E46,MAX(0,ROUNDUP(((YEAR(AB$3)-YEAR($E46))*12+MONTH(AB$3)-MONTH($E46))/$G46,0)*$G46)+$G46),EDATE($E46,MAX(0,ROUNDUP(((YEAR(AB$3)-YEAR($E46))*12+MONTH(AB$3)-MONTH($E46))/$G46,0)*$G46)))&lt;=IF($F46="",AB$4,MIN(AB$4,$F46))),1,0)))))</f>
        <v>0</v>
      </c>
      <c r="AC46" s="25" t="n">
        <f aca="false">IF(OR($C46="",$C46=0,$E46="",$B46="",$G46=-2),0,$C46*IF($G46=0,IF(IF($F46="",AC$4,MIN(AC$4,$F46))&lt;$E46,0,MAX(0,INT((IF($F46="",AC$4,MIN(AC$4,$F46))-$E46)/7)+1-MAX(0,ROUNDUP((AC$3-$E46)/7,0)))),IF($G46=101,(AND(EOMONTH(AC$3,0)&gt;=MAX(AC$3,$E46),EOMONTH(AC$3,0)&lt;=IF($F46="",AC$4,MIN(AC$4,$F46)))*1+AND(EOMONTH(AC$4,0)&lt;&gt;EOMONTH(AC$3,0),EOMONTH(AC$4,0)&gt;=MAX(AC$3,$E46),EOMONTH(AC$4,0)&lt;=IF($F46="",AC$4,MIN(AC$4,$F46)))*1),IF($G46=102,(AND(WORKDAY(EOMONTH(AC$3,0)+1,-3)&gt;=MAX(AC$3,$E46),WORKDAY(EOMONTH(AC$3,0)+1,-3)&lt;=IF($F46="",AC$4,MIN(AC$4,$F46)))*1+AND(WORKDAY(EOMONTH(AC$4,0)+1,-3)&lt;&gt;WORKDAY(EOMONTH(AC$3,0)+1,-3),WORKDAY(EOMONTH(AC$4,0)+1,-3)&gt;=MAX(AC$3,$E46),WORKDAY(EOMONTH(AC$4,0)+1,-3)&lt;=IF($F46="",AC$4,MIN(AC$4,$F46)))*1),IF(AND(IF(EDATE($E46,MAX(0,ROUNDUP(((YEAR(AC$3)-YEAR($E46))*12+MONTH(AC$3)-MONTH($E46))/$G46,0)*$G46))&lt;AC$3,EDATE($E46,MAX(0,ROUNDUP(((YEAR(AC$3)-YEAR($E46))*12+MONTH(AC$3)-MONTH($E46))/$G46,0)*$G46)+$G46),EDATE($E46,MAX(0,ROUNDUP(((YEAR(AC$3)-YEAR($E46))*12+MONTH(AC$3)-MONTH($E46))/$G46,0)*$G46)))&gt;=AC$3,IF(EDATE($E46,MAX(0,ROUNDUP(((YEAR(AC$3)-YEAR($E46))*12+MONTH(AC$3)-MONTH($E46))/$G46,0)*$G46))&lt;AC$3,EDATE($E46,MAX(0,ROUNDUP(((YEAR(AC$3)-YEAR($E46))*12+MONTH(AC$3)-MONTH($E46))/$G46,0)*$G46)+$G46),EDATE($E46,MAX(0,ROUNDUP(((YEAR(AC$3)-YEAR($E46))*12+MONTH(AC$3)-MONTH($E46))/$G46,0)*$G46)))&lt;=IF($F46="",AC$4,MIN(AC$4,$F46))),1,0)))))</f>
        <v>0</v>
      </c>
      <c r="AD46" s="25" t="n">
        <f aca="false">IF(OR($C46="",$C46=0,$E46="",$B46="",$G46=-2),0,$C46*IF($G46=0,IF(IF($F46="",AD$4,MIN(AD$4,$F46))&lt;$E46,0,MAX(0,INT((IF($F46="",AD$4,MIN(AD$4,$F46))-$E46)/7)+1-MAX(0,ROUNDUP((AD$3-$E46)/7,0)))),IF($G46=101,(AND(EOMONTH(AD$3,0)&gt;=MAX(AD$3,$E46),EOMONTH(AD$3,0)&lt;=IF($F46="",AD$4,MIN(AD$4,$F46)))*1+AND(EOMONTH(AD$4,0)&lt;&gt;EOMONTH(AD$3,0),EOMONTH(AD$4,0)&gt;=MAX(AD$3,$E46),EOMONTH(AD$4,0)&lt;=IF($F46="",AD$4,MIN(AD$4,$F46)))*1),IF($G46=102,(AND(WORKDAY(EOMONTH(AD$3,0)+1,-3)&gt;=MAX(AD$3,$E46),WORKDAY(EOMONTH(AD$3,0)+1,-3)&lt;=IF($F46="",AD$4,MIN(AD$4,$F46)))*1+AND(WORKDAY(EOMONTH(AD$4,0)+1,-3)&lt;&gt;WORKDAY(EOMONTH(AD$3,0)+1,-3),WORKDAY(EOMONTH(AD$4,0)+1,-3)&gt;=MAX(AD$3,$E46),WORKDAY(EOMONTH(AD$4,0)+1,-3)&lt;=IF($F46="",AD$4,MIN(AD$4,$F46)))*1),IF(AND(IF(EDATE($E46,MAX(0,ROUNDUP(((YEAR(AD$3)-YEAR($E46))*12+MONTH(AD$3)-MONTH($E46))/$G46,0)*$G46))&lt;AD$3,EDATE($E46,MAX(0,ROUNDUP(((YEAR(AD$3)-YEAR($E46))*12+MONTH(AD$3)-MONTH($E46))/$G46,0)*$G46)+$G46),EDATE($E46,MAX(0,ROUNDUP(((YEAR(AD$3)-YEAR($E46))*12+MONTH(AD$3)-MONTH($E46))/$G46,0)*$G46)))&gt;=AD$3,IF(EDATE($E46,MAX(0,ROUNDUP(((YEAR(AD$3)-YEAR($E46))*12+MONTH(AD$3)-MONTH($E46))/$G46,0)*$G46))&lt;AD$3,EDATE($E46,MAX(0,ROUNDUP(((YEAR(AD$3)-YEAR($E46))*12+MONTH(AD$3)-MONTH($E46))/$G46,0)*$G46)+$G46),EDATE($E46,MAX(0,ROUNDUP(((YEAR(AD$3)-YEAR($E46))*12+MONTH(AD$3)-MONTH($E46))/$G46,0)*$G46)))&lt;=IF($F46="",AD$4,MIN(AD$4,$F46))),1,0)))))</f>
        <v>0</v>
      </c>
      <c r="AE46" s="25" t="n">
        <f aca="false">IF(OR($C46="",$C46=0,$E46="",$B46="",$G46=-2),0,$C46*IF($G46=0,IF(IF($F46="",AE$4,MIN(AE$4,$F46))&lt;$E46,0,MAX(0,INT((IF($F46="",AE$4,MIN(AE$4,$F46))-$E46)/7)+1-MAX(0,ROUNDUP((AE$3-$E46)/7,0)))),IF($G46=101,(AND(EOMONTH(AE$3,0)&gt;=MAX(AE$3,$E46),EOMONTH(AE$3,0)&lt;=IF($F46="",AE$4,MIN(AE$4,$F46)))*1+AND(EOMONTH(AE$4,0)&lt;&gt;EOMONTH(AE$3,0),EOMONTH(AE$4,0)&gt;=MAX(AE$3,$E46),EOMONTH(AE$4,0)&lt;=IF($F46="",AE$4,MIN(AE$4,$F46)))*1),IF($G46=102,(AND(WORKDAY(EOMONTH(AE$3,0)+1,-3)&gt;=MAX(AE$3,$E46),WORKDAY(EOMONTH(AE$3,0)+1,-3)&lt;=IF($F46="",AE$4,MIN(AE$4,$F46)))*1+AND(WORKDAY(EOMONTH(AE$4,0)+1,-3)&lt;&gt;WORKDAY(EOMONTH(AE$3,0)+1,-3),WORKDAY(EOMONTH(AE$4,0)+1,-3)&gt;=MAX(AE$3,$E46),WORKDAY(EOMONTH(AE$4,0)+1,-3)&lt;=IF($F46="",AE$4,MIN(AE$4,$F46)))*1),IF(AND(IF(EDATE($E46,MAX(0,ROUNDUP(((YEAR(AE$3)-YEAR($E46))*12+MONTH(AE$3)-MONTH($E46))/$G46,0)*$G46))&lt;AE$3,EDATE($E46,MAX(0,ROUNDUP(((YEAR(AE$3)-YEAR($E46))*12+MONTH(AE$3)-MONTH($E46))/$G46,0)*$G46)+$G46),EDATE($E46,MAX(0,ROUNDUP(((YEAR(AE$3)-YEAR($E46))*12+MONTH(AE$3)-MONTH($E46))/$G46,0)*$G46)))&gt;=AE$3,IF(EDATE($E46,MAX(0,ROUNDUP(((YEAR(AE$3)-YEAR($E46))*12+MONTH(AE$3)-MONTH($E46))/$G46,0)*$G46))&lt;AE$3,EDATE($E46,MAX(0,ROUNDUP(((YEAR(AE$3)-YEAR($E46))*12+MONTH(AE$3)-MONTH($E46))/$G46,0)*$G46)+$G46),EDATE($E46,MAX(0,ROUNDUP(((YEAR(AE$3)-YEAR($E46))*12+MONTH(AE$3)-MONTH($E46))/$G46,0)*$G46)))&lt;=IF($F46="",AE$4,MIN(AE$4,$F46))),1,0)))))</f>
        <v>0</v>
      </c>
      <c r="AF46" s="25" t="n">
        <f aca="false">IF(OR($C46="",$C46=0,$E46="",$B46="",$G46=-2),0,$C46*IF($G46=0,IF(IF($F46="",AF$4,MIN(AF$4,$F46))&lt;$E46,0,MAX(0,INT((IF($F46="",AF$4,MIN(AF$4,$F46))-$E46)/7)+1-MAX(0,ROUNDUP((AF$3-$E46)/7,0)))),IF($G46=101,(AND(EOMONTH(AF$3,0)&gt;=MAX(AF$3,$E46),EOMONTH(AF$3,0)&lt;=IF($F46="",AF$4,MIN(AF$4,$F46)))*1+AND(EOMONTH(AF$4,0)&lt;&gt;EOMONTH(AF$3,0),EOMONTH(AF$4,0)&gt;=MAX(AF$3,$E46),EOMONTH(AF$4,0)&lt;=IF($F46="",AF$4,MIN(AF$4,$F46)))*1),IF($G46=102,(AND(WORKDAY(EOMONTH(AF$3,0)+1,-3)&gt;=MAX(AF$3,$E46),WORKDAY(EOMONTH(AF$3,0)+1,-3)&lt;=IF($F46="",AF$4,MIN(AF$4,$F46)))*1+AND(WORKDAY(EOMONTH(AF$4,0)+1,-3)&lt;&gt;WORKDAY(EOMONTH(AF$3,0)+1,-3),WORKDAY(EOMONTH(AF$4,0)+1,-3)&gt;=MAX(AF$3,$E46),WORKDAY(EOMONTH(AF$4,0)+1,-3)&lt;=IF($F46="",AF$4,MIN(AF$4,$F46)))*1),IF(AND(IF(EDATE($E46,MAX(0,ROUNDUP(((YEAR(AF$3)-YEAR($E46))*12+MONTH(AF$3)-MONTH($E46))/$G46,0)*$G46))&lt;AF$3,EDATE($E46,MAX(0,ROUNDUP(((YEAR(AF$3)-YEAR($E46))*12+MONTH(AF$3)-MONTH($E46))/$G46,0)*$G46)+$G46),EDATE($E46,MAX(0,ROUNDUP(((YEAR(AF$3)-YEAR($E46))*12+MONTH(AF$3)-MONTH($E46))/$G46,0)*$G46)))&gt;=AF$3,IF(EDATE($E46,MAX(0,ROUNDUP(((YEAR(AF$3)-YEAR($E46))*12+MONTH(AF$3)-MONTH($E46))/$G46,0)*$G46))&lt;AF$3,EDATE($E46,MAX(0,ROUNDUP(((YEAR(AF$3)-YEAR($E46))*12+MONTH(AF$3)-MONTH($E46))/$G46,0)*$G46)+$G46),EDATE($E46,MAX(0,ROUNDUP(((YEAR(AF$3)-YEAR($E46))*12+MONTH(AF$3)-MONTH($E46))/$G46,0)*$G46)))&lt;=IF($F46="",AF$4,MIN(AF$4,$F46))),1,0)))))</f>
        <v>0</v>
      </c>
    </row>
    <row r="48" customFormat="false" ht="55.5" hidden="false" customHeight="true" outlineLevel="0" collapsed="false">
      <c r="A48" s="19" t="s">
        <v>65</v>
      </c>
      <c r="B48" s="19"/>
      <c r="C48" s="19"/>
      <c r="D48" s="19"/>
      <c r="E48" s="19"/>
      <c r="F48" s="19"/>
    </row>
    <row r="49" customFormat="false" ht="69.75" hidden="false" customHeight="true" outlineLevel="0" collapsed="false">
      <c r="A49" s="19" t="s">
        <v>66</v>
      </c>
      <c r="B49" s="19"/>
      <c r="C49" s="19"/>
      <c r="D49" s="19"/>
      <c r="E49" s="19"/>
      <c r="F49" s="19"/>
    </row>
  </sheetData>
  <sheetProtection sheet="true" formatCells="false" formatColumns="false" formatRows="false"/>
  <mergeCells count="2">
    <mergeCell ref="A48:F48"/>
    <mergeCell ref="A49:F49"/>
  </mergeCells>
  <conditionalFormatting sqref="A7:F46">
    <cfRule type="expression" priority="2" aboveAverage="0" equalAverage="0" bottom="0" percent="0" rank="0" text="" dxfId="1">
      <formula>AND($C7&gt;0,OR($B7="",$D7="",$E7=""))</formula>
    </cfRule>
  </conditionalFormatting>
  <dataValidations count="4">
    <dataValidation allowBlank="true" error="Bitte ein Datum eingeben, z. B. 15.03.2027." errorStyle="stop" operator="between" showDropDown="false" showErrorMessage="true" showInputMessage="false" sqref="E7:F46" type="date">
      <formula1>36526</formula1>
      <formula2>73051</formula2>
    </dataValidation>
    <dataValidation allowBlank="true" error="Bitte einen Wert aus der Liste wählen." errorStyle="stop" operator="between" showDropDown="false" showErrorMessage="true" showInputMessage="false" sqref="B7:B46" type="list">
      <formula1>Listen!$A$2:$A$21</formula1>
      <formula2>0</formula2>
    </dataValidation>
    <dataValidation allowBlank="true" error="Bitte einen Wert aus der Liste wählen." errorStyle="stop" operator="between" showDropDown="false" showErrorMessage="true" showInputMessage="false" sqref="D7:D46" type="list">
      <formula1>Listen!$D$2:$D$8</formula1>
      <formula2>0</formula2>
    </dataValidation>
    <dataValidation allowBlank="true" error="Bitte einen positiven Betrag eingeben; ob Ein- oder Auszahlung, ergibt sich aus der Kategorie." errorStyle="stop" operator="between" showDropDown="false" showErrorMessage="true" showInputMessage="false" sqref="C7:C46" type="decimal">
      <formula1>0</formula1>
      <formula2>100000000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8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6"/>
    <col collapsed="false" customWidth="true" hidden="false" outlineLevel="0" max="3" min="3" style="0" width="30"/>
    <col collapsed="false" customWidth="true" hidden="false" outlineLevel="0" max="4" min="4" style="0" width="15"/>
    <col collapsed="false" customWidth="true" hidden="false" outlineLevel="0" max="5" min="5" style="0" width="12"/>
  </cols>
  <sheetData>
    <row r="1" customFormat="false" ht="17.35" hidden="false" customHeight="false" outlineLevel="0" collapsed="false">
      <c r="A1" s="1" t="s">
        <v>67</v>
      </c>
    </row>
    <row r="2" customFormat="false" ht="15" hidden="false" customHeight="false" outlineLevel="0" collapsed="false">
      <c r="A2" s="15" t="s">
        <v>68</v>
      </c>
    </row>
    <row r="4" customFormat="false" ht="15" hidden="false" customHeight="false" outlineLevel="0" collapsed="false">
      <c r="A4" s="16" t="s">
        <v>69</v>
      </c>
      <c r="B4" s="16" t="s">
        <v>59</v>
      </c>
      <c r="C4" s="16" t="s">
        <v>60</v>
      </c>
      <c r="D4" s="16" t="s">
        <v>43</v>
      </c>
      <c r="E4" s="16" t="s">
        <v>47</v>
      </c>
    </row>
    <row r="5" customFormat="false" ht="15" hidden="false" customHeight="false" outlineLevel="0" collapsed="false">
      <c r="A5" s="7"/>
      <c r="B5" s="5"/>
      <c r="C5" s="5"/>
      <c r="D5" s="8"/>
      <c r="E5" s="12" t="str">
        <f aca="false">IF(OR(D5="",D5=0,A5="",C5=""),"",IF(A5&lt;Start!$B$13,"vor Beginn",A5+IF(OR(C5="Kundenzahlungen (regelmäßig)",C5="Kundenzahlungen (neue Aufträge)"),Start!$B$11,0)))</f>
        <v/>
      </c>
    </row>
    <row r="6" customFormat="false" ht="15" hidden="false" customHeight="false" outlineLevel="0" collapsed="false">
      <c r="A6" s="7"/>
      <c r="B6" s="5"/>
      <c r="C6" s="5"/>
      <c r="D6" s="8"/>
      <c r="E6" s="12" t="str">
        <f aca="false">IF(OR(D6="",D6=0,A6="",C6=""),"",IF(A6&lt;Start!$B$13,"vor Beginn",A6+IF(OR(C6="Kundenzahlungen (regelmäßig)",C6="Kundenzahlungen (neue Aufträge)"),Start!$B$11,0)))</f>
        <v/>
      </c>
    </row>
    <row r="7" customFormat="false" ht="15" hidden="false" customHeight="false" outlineLevel="0" collapsed="false">
      <c r="A7" s="7"/>
      <c r="B7" s="5"/>
      <c r="C7" s="5"/>
      <c r="D7" s="8"/>
      <c r="E7" s="12" t="str">
        <f aca="false">IF(OR(D7="",D7=0,A7="",C7=""),"",IF(A7&lt;Start!$B$13,"vor Beginn",A7+IF(OR(C7="Kundenzahlungen (regelmäßig)",C7="Kundenzahlungen (neue Aufträge)"),Start!$B$11,0)))</f>
        <v/>
      </c>
    </row>
    <row r="8" customFormat="false" ht="15" hidden="false" customHeight="false" outlineLevel="0" collapsed="false">
      <c r="A8" s="7"/>
      <c r="B8" s="5"/>
      <c r="C8" s="5"/>
      <c r="D8" s="8"/>
      <c r="E8" s="12" t="str">
        <f aca="false">IF(OR(D8="",D8=0,A8="",C8=""),"",IF(A8&lt;Start!$B$13,"vor Beginn",A8+IF(OR(C8="Kundenzahlungen (regelmäßig)",C8="Kundenzahlungen (neue Aufträge)"),Start!$B$11,0)))</f>
        <v/>
      </c>
    </row>
    <row r="9" customFormat="false" ht="15" hidden="false" customHeight="false" outlineLevel="0" collapsed="false">
      <c r="A9" s="7"/>
      <c r="B9" s="5"/>
      <c r="C9" s="5"/>
      <c r="D9" s="8"/>
      <c r="E9" s="12" t="str">
        <f aca="false">IF(OR(D9="",D9=0,A9="",C9=""),"",IF(A9&lt;Start!$B$13,"vor Beginn",A9+IF(OR(C9="Kundenzahlungen (regelmäßig)",C9="Kundenzahlungen (neue Aufträge)"),Start!$B$11,0)))</f>
        <v/>
      </c>
    </row>
    <row r="10" customFormat="false" ht="15" hidden="false" customHeight="false" outlineLevel="0" collapsed="false">
      <c r="A10" s="7"/>
      <c r="B10" s="5"/>
      <c r="C10" s="5"/>
      <c r="D10" s="8"/>
      <c r="E10" s="12" t="str">
        <f aca="false">IF(OR(D10="",D10=0,A10="",C10=""),"",IF(A10&lt;Start!$B$13,"vor Beginn",A10+IF(OR(C10="Kundenzahlungen (regelmäßig)",C10="Kundenzahlungen (neue Aufträge)"),Start!$B$11,0)))</f>
        <v/>
      </c>
    </row>
    <row r="11" customFormat="false" ht="15" hidden="false" customHeight="false" outlineLevel="0" collapsed="false">
      <c r="A11" s="7"/>
      <c r="B11" s="5"/>
      <c r="C11" s="5"/>
      <c r="D11" s="8"/>
      <c r="E11" s="12" t="str">
        <f aca="false">IF(OR(D11="",D11=0,A11="",C11=""),"",IF(A11&lt;Start!$B$13,"vor Beginn",A11+IF(OR(C11="Kundenzahlungen (regelmäßig)",C11="Kundenzahlungen (neue Aufträge)"),Start!$B$11,0)))</f>
        <v/>
      </c>
    </row>
    <row r="12" customFormat="false" ht="15" hidden="false" customHeight="false" outlineLevel="0" collapsed="false">
      <c r="A12" s="7"/>
      <c r="B12" s="5"/>
      <c r="C12" s="5"/>
      <c r="D12" s="8"/>
      <c r="E12" s="12" t="str">
        <f aca="false">IF(OR(D12="",D12=0,A12="",C12=""),"",IF(A12&lt;Start!$B$13,"vor Beginn",A12+IF(OR(C12="Kundenzahlungen (regelmäßig)",C12="Kundenzahlungen (neue Aufträge)"),Start!$B$11,0)))</f>
        <v/>
      </c>
    </row>
    <row r="13" customFormat="false" ht="15" hidden="false" customHeight="false" outlineLevel="0" collapsed="false">
      <c r="A13" s="7"/>
      <c r="B13" s="5"/>
      <c r="C13" s="5"/>
      <c r="D13" s="8"/>
      <c r="E13" s="12" t="str">
        <f aca="false">IF(OR(D13="",D13=0,A13="",C13=""),"",IF(A13&lt;Start!$B$13,"vor Beginn",A13+IF(OR(C13="Kundenzahlungen (regelmäßig)",C13="Kundenzahlungen (neue Aufträge)"),Start!$B$11,0)))</f>
        <v/>
      </c>
    </row>
    <row r="14" customFormat="false" ht="15" hidden="false" customHeight="false" outlineLevel="0" collapsed="false">
      <c r="A14" s="7"/>
      <c r="B14" s="5"/>
      <c r="C14" s="5"/>
      <c r="D14" s="8"/>
      <c r="E14" s="12" t="str">
        <f aca="false">IF(OR(D14="",D14=0,A14="",C14=""),"",IF(A14&lt;Start!$B$13,"vor Beginn",A14+IF(OR(C14="Kundenzahlungen (regelmäßig)",C14="Kundenzahlungen (neue Aufträge)"),Start!$B$11,0)))</f>
        <v/>
      </c>
    </row>
    <row r="15" customFormat="false" ht="15" hidden="false" customHeight="false" outlineLevel="0" collapsed="false">
      <c r="A15" s="7"/>
      <c r="B15" s="5"/>
      <c r="C15" s="5"/>
      <c r="D15" s="8"/>
      <c r="E15" s="12" t="str">
        <f aca="false">IF(OR(D15="",D15=0,A15="",C15=""),"",IF(A15&lt;Start!$B$13,"vor Beginn",A15+IF(OR(C15="Kundenzahlungen (regelmäßig)",C15="Kundenzahlungen (neue Aufträge)"),Start!$B$11,0)))</f>
        <v/>
      </c>
    </row>
    <row r="16" customFormat="false" ht="15" hidden="false" customHeight="false" outlineLevel="0" collapsed="false">
      <c r="A16" s="7"/>
      <c r="B16" s="5"/>
      <c r="C16" s="5"/>
      <c r="D16" s="8"/>
      <c r="E16" s="12" t="str">
        <f aca="false">IF(OR(D16="",D16=0,A16="",C16=""),"",IF(A16&lt;Start!$B$13,"vor Beginn",A16+IF(OR(C16="Kundenzahlungen (regelmäßig)",C16="Kundenzahlungen (neue Aufträge)"),Start!$B$11,0)))</f>
        <v/>
      </c>
    </row>
    <row r="17" customFormat="false" ht="15" hidden="false" customHeight="false" outlineLevel="0" collapsed="false">
      <c r="A17" s="7"/>
      <c r="B17" s="5"/>
      <c r="C17" s="5"/>
      <c r="D17" s="8"/>
      <c r="E17" s="12" t="str">
        <f aca="false">IF(OR(D17="",D17=0,A17="",C17=""),"",IF(A17&lt;Start!$B$13,"vor Beginn",A17+IF(OR(C17="Kundenzahlungen (regelmäßig)",C17="Kundenzahlungen (neue Aufträge)"),Start!$B$11,0)))</f>
        <v/>
      </c>
    </row>
    <row r="18" customFormat="false" ht="15" hidden="false" customHeight="false" outlineLevel="0" collapsed="false">
      <c r="A18" s="7"/>
      <c r="B18" s="5"/>
      <c r="C18" s="5"/>
      <c r="D18" s="8"/>
      <c r="E18" s="12" t="str">
        <f aca="false">IF(OR(D18="",D18=0,A18="",C18=""),"",IF(A18&lt;Start!$B$13,"vor Beginn",A18+IF(OR(C18="Kundenzahlungen (regelmäßig)",C18="Kundenzahlungen (neue Aufträge)"),Start!$B$11,0)))</f>
        <v/>
      </c>
    </row>
    <row r="19" customFormat="false" ht="15" hidden="false" customHeight="false" outlineLevel="0" collapsed="false">
      <c r="A19" s="7"/>
      <c r="B19" s="5"/>
      <c r="C19" s="5"/>
      <c r="D19" s="8"/>
      <c r="E19" s="12" t="str">
        <f aca="false">IF(OR(D19="",D19=0,A19="",C19=""),"",IF(A19&lt;Start!$B$13,"vor Beginn",A19+IF(OR(C19="Kundenzahlungen (regelmäßig)",C19="Kundenzahlungen (neue Aufträge)"),Start!$B$11,0)))</f>
        <v/>
      </c>
    </row>
    <row r="20" customFormat="false" ht="15" hidden="false" customHeight="false" outlineLevel="0" collapsed="false">
      <c r="A20" s="7"/>
      <c r="B20" s="5"/>
      <c r="C20" s="5"/>
      <c r="D20" s="8"/>
      <c r="E20" s="12" t="str">
        <f aca="false">IF(OR(D20="",D20=0,A20="",C20=""),"",IF(A20&lt;Start!$B$13,"vor Beginn",A20+IF(OR(C20="Kundenzahlungen (regelmäßig)",C20="Kundenzahlungen (neue Aufträge)"),Start!$B$11,0)))</f>
        <v/>
      </c>
    </row>
    <row r="21" customFormat="false" ht="15" hidden="false" customHeight="false" outlineLevel="0" collapsed="false">
      <c r="A21" s="7"/>
      <c r="B21" s="5"/>
      <c r="C21" s="5"/>
      <c r="D21" s="8"/>
      <c r="E21" s="12" t="str">
        <f aca="false">IF(OR(D21="",D21=0,A21="",C21=""),"",IF(A21&lt;Start!$B$13,"vor Beginn",A21+IF(OR(C21="Kundenzahlungen (regelmäßig)",C21="Kundenzahlungen (neue Aufträge)"),Start!$B$11,0)))</f>
        <v/>
      </c>
    </row>
    <row r="22" customFormat="false" ht="15" hidden="false" customHeight="false" outlineLevel="0" collapsed="false">
      <c r="A22" s="7"/>
      <c r="B22" s="5"/>
      <c r="C22" s="5"/>
      <c r="D22" s="8"/>
      <c r="E22" s="12" t="str">
        <f aca="false">IF(OR(D22="",D22=0,A22="",C22=""),"",IF(A22&lt;Start!$B$13,"vor Beginn",A22+IF(OR(C22="Kundenzahlungen (regelmäßig)",C22="Kundenzahlungen (neue Aufträge)"),Start!$B$11,0)))</f>
        <v/>
      </c>
    </row>
    <row r="23" customFormat="false" ht="15" hidden="false" customHeight="false" outlineLevel="0" collapsed="false">
      <c r="A23" s="7"/>
      <c r="B23" s="5"/>
      <c r="C23" s="5"/>
      <c r="D23" s="8"/>
      <c r="E23" s="12" t="str">
        <f aca="false">IF(OR(D23="",D23=0,A23="",C23=""),"",IF(A23&lt;Start!$B$13,"vor Beginn",A23+IF(OR(C23="Kundenzahlungen (regelmäßig)",C23="Kundenzahlungen (neue Aufträge)"),Start!$B$11,0)))</f>
        <v/>
      </c>
    </row>
    <row r="24" customFormat="false" ht="15" hidden="false" customHeight="false" outlineLevel="0" collapsed="false">
      <c r="A24" s="7"/>
      <c r="B24" s="5"/>
      <c r="C24" s="5"/>
      <c r="D24" s="8"/>
      <c r="E24" s="12" t="str">
        <f aca="false">IF(OR(D24="",D24=0,A24="",C24=""),"",IF(A24&lt;Start!$B$13,"vor Beginn",A24+IF(OR(C24="Kundenzahlungen (regelmäßig)",C24="Kundenzahlungen (neue Aufträge)"),Start!$B$11,0)))</f>
        <v/>
      </c>
    </row>
    <row r="25" customFormat="false" ht="15" hidden="false" customHeight="false" outlineLevel="0" collapsed="false">
      <c r="A25" s="7"/>
      <c r="B25" s="5"/>
      <c r="C25" s="5"/>
      <c r="D25" s="8"/>
      <c r="E25" s="12" t="str">
        <f aca="false">IF(OR(D25="",D25=0,A25="",C25=""),"",IF(A25&lt;Start!$B$13,"vor Beginn",A25+IF(OR(C25="Kundenzahlungen (regelmäßig)",C25="Kundenzahlungen (neue Aufträge)"),Start!$B$11,0)))</f>
        <v/>
      </c>
    </row>
    <row r="26" customFormat="false" ht="15" hidden="false" customHeight="false" outlineLevel="0" collapsed="false">
      <c r="A26" s="7"/>
      <c r="B26" s="5"/>
      <c r="C26" s="5"/>
      <c r="D26" s="8"/>
      <c r="E26" s="12" t="str">
        <f aca="false">IF(OR(D26="",D26=0,A26="",C26=""),"",IF(A26&lt;Start!$B$13,"vor Beginn",A26+IF(OR(C26="Kundenzahlungen (regelmäßig)",C26="Kundenzahlungen (neue Aufträge)"),Start!$B$11,0)))</f>
        <v/>
      </c>
    </row>
    <row r="27" customFormat="false" ht="15" hidden="false" customHeight="false" outlineLevel="0" collapsed="false">
      <c r="A27" s="7"/>
      <c r="B27" s="5"/>
      <c r="C27" s="5"/>
      <c r="D27" s="8"/>
      <c r="E27" s="12" t="str">
        <f aca="false">IF(OR(D27="",D27=0,A27="",C27=""),"",IF(A27&lt;Start!$B$13,"vor Beginn",A27+IF(OR(C27="Kundenzahlungen (regelmäßig)",C27="Kundenzahlungen (neue Aufträge)"),Start!$B$11,0)))</f>
        <v/>
      </c>
    </row>
    <row r="28" customFormat="false" ht="15" hidden="false" customHeight="false" outlineLevel="0" collapsed="false">
      <c r="A28" s="7"/>
      <c r="B28" s="5"/>
      <c r="C28" s="5"/>
      <c r="D28" s="8"/>
      <c r="E28" s="12" t="str">
        <f aca="false">IF(OR(D28="",D28=0,A28="",C28=""),"",IF(A28&lt;Start!$B$13,"vor Beginn",A28+IF(OR(C28="Kundenzahlungen (regelmäßig)",C28="Kundenzahlungen (neue Aufträge)"),Start!$B$11,0)))</f>
        <v/>
      </c>
    </row>
    <row r="29" customFormat="false" ht="15" hidden="false" customHeight="false" outlineLevel="0" collapsed="false">
      <c r="A29" s="7"/>
      <c r="B29" s="5"/>
      <c r="C29" s="5"/>
      <c r="D29" s="8"/>
      <c r="E29" s="12" t="str">
        <f aca="false">IF(OR(D29="",D29=0,A29="",C29=""),"",IF(A29&lt;Start!$B$13,"vor Beginn",A29+IF(OR(C29="Kundenzahlungen (regelmäßig)",C29="Kundenzahlungen (neue Aufträge)"),Start!$B$11,0)))</f>
        <v/>
      </c>
    </row>
    <row r="30" customFormat="false" ht="15" hidden="false" customHeight="false" outlineLevel="0" collapsed="false">
      <c r="A30" s="7"/>
      <c r="B30" s="5"/>
      <c r="C30" s="5"/>
      <c r="D30" s="8"/>
      <c r="E30" s="12" t="str">
        <f aca="false">IF(OR(D30="",D30=0,A30="",C30=""),"",IF(A30&lt;Start!$B$13,"vor Beginn",A30+IF(OR(C30="Kundenzahlungen (regelmäßig)",C30="Kundenzahlungen (neue Aufträge)"),Start!$B$11,0)))</f>
        <v/>
      </c>
    </row>
    <row r="31" customFormat="false" ht="15" hidden="false" customHeight="false" outlineLevel="0" collapsed="false">
      <c r="A31" s="7"/>
      <c r="B31" s="5"/>
      <c r="C31" s="5"/>
      <c r="D31" s="8"/>
      <c r="E31" s="12" t="str">
        <f aca="false">IF(OR(D31="",D31=0,A31="",C31=""),"",IF(A31&lt;Start!$B$13,"vor Beginn",A31+IF(OR(C31="Kundenzahlungen (regelmäßig)",C31="Kundenzahlungen (neue Aufträge)"),Start!$B$11,0)))</f>
        <v/>
      </c>
    </row>
    <row r="32" customFormat="false" ht="15" hidden="false" customHeight="false" outlineLevel="0" collapsed="false">
      <c r="A32" s="7"/>
      <c r="B32" s="5"/>
      <c r="C32" s="5"/>
      <c r="D32" s="8"/>
      <c r="E32" s="12" t="str">
        <f aca="false">IF(OR(D32="",D32=0,A32="",C32=""),"",IF(A32&lt;Start!$B$13,"vor Beginn",A32+IF(OR(C32="Kundenzahlungen (regelmäßig)",C32="Kundenzahlungen (neue Aufträge)"),Start!$B$11,0)))</f>
        <v/>
      </c>
    </row>
    <row r="33" customFormat="false" ht="15" hidden="false" customHeight="false" outlineLevel="0" collapsed="false">
      <c r="A33" s="7"/>
      <c r="B33" s="5"/>
      <c r="C33" s="5"/>
      <c r="D33" s="8"/>
      <c r="E33" s="12" t="str">
        <f aca="false">IF(OR(D33="",D33=0,A33="",C33=""),"",IF(A33&lt;Start!$B$13,"vor Beginn",A33+IF(OR(C33="Kundenzahlungen (regelmäßig)",C33="Kundenzahlungen (neue Aufträge)"),Start!$B$11,0)))</f>
        <v/>
      </c>
    </row>
    <row r="34" customFormat="false" ht="15" hidden="false" customHeight="false" outlineLevel="0" collapsed="false">
      <c r="A34" s="7"/>
      <c r="B34" s="5"/>
      <c r="C34" s="5"/>
      <c r="D34" s="8"/>
      <c r="E34" s="12" t="str">
        <f aca="false">IF(OR(D34="",D34=0,A34="",C34=""),"",IF(A34&lt;Start!$B$13,"vor Beginn",A34+IF(OR(C34="Kundenzahlungen (regelmäßig)",C34="Kundenzahlungen (neue Aufträge)"),Start!$B$11,0)))</f>
        <v/>
      </c>
    </row>
    <row r="35" customFormat="false" ht="15" hidden="false" customHeight="false" outlineLevel="0" collapsed="false">
      <c r="A35" s="7"/>
      <c r="B35" s="5"/>
      <c r="C35" s="5"/>
      <c r="D35" s="8"/>
      <c r="E35" s="12" t="str">
        <f aca="false">IF(OR(D35="",D35=0,A35="",C35=""),"",IF(A35&lt;Start!$B$13,"vor Beginn",A35+IF(OR(C35="Kundenzahlungen (regelmäßig)",C35="Kundenzahlungen (neue Aufträge)"),Start!$B$11,0)))</f>
        <v/>
      </c>
    </row>
    <row r="36" customFormat="false" ht="15" hidden="false" customHeight="false" outlineLevel="0" collapsed="false">
      <c r="A36" s="7"/>
      <c r="B36" s="5"/>
      <c r="C36" s="5"/>
      <c r="D36" s="8"/>
      <c r="E36" s="12" t="str">
        <f aca="false">IF(OR(D36="",D36=0,A36="",C36=""),"",IF(A36&lt;Start!$B$13,"vor Beginn",A36+IF(OR(C36="Kundenzahlungen (regelmäßig)",C36="Kundenzahlungen (neue Aufträge)"),Start!$B$11,0)))</f>
        <v/>
      </c>
    </row>
    <row r="37" customFormat="false" ht="15" hidden="false" customHeight="false" outlineLevel="0" collapsed="false">
      <c r="A37" s="7"/>
      <c r="B37" s="5"/>
      <c r="C37" s="5"/>
      <c r="D37" s="8"/>
      <c r="E37" s="12" t="str">
        <f aca="false">IF(OR(D37="",D37=0,A37="",C37=""),"",IF(A37&lt;Start!$B$13,"vor Beginn",A37+IF(OR(C37="Kundenzahlungen (regelmäßig)",C37="Kundenzahlungen (neue Aufträge)"),Start!$B$11,0)))</f>
        <v/>
      </c>
    </row>
    <row r="38" customFormat="false" ht="15" hidden="false" customHeight="false" outlineLevel="0" collapsed="false">
      <c r="A38" s="7"/>
      <c r="B38" s="5"/>
      <c r="C38" s="5"/>
      <c r="D38" s="8"/>
      <c r="E38" s="12" t="str">
        <f aca="false">IF(OR(D38="",D38=0,A38="",C38=""),"",IF(A38&lt;Start!$B$13,"vor Beginn",A38+IF(OR(C38="Kundenzahlungen (regelmäßig)",C38="Kundenzahlungen (neue Aufträge)"),Start!$B$11,0)))</f>
        <v/>
      </c>
    </row>
    <row r="39" customFormat="false" ht="15" hidden="false" customHeight="false" outlineLevel="0" collapsed="false">
      <c r="A39" s="7"/>
      <c r="B39" s="5"/>
      <c r="C39" s="5"/>
      <c r="D39" s="8"/>
      <c r="E39" s="12" t="str">
        <f aca="false">IF(OR(D39="",D39=0,A39="",C39=""),"",IF(A39&lt;Start!$B$13,"vor Beginn",A39+IF(OR(C39="Kundenzahlungen (regelmäßig)",C39="Kundenzahlungen (neue Aufträge)"),Start!$B$11,0)))</f>
        <v/>
      </c>
    </row>
    <row r="40" customFormat="false" ht="15" hidden="false" customHeight="false" outlineLevel="0" collapsed="false">
      <c r="A40" s="7"/>
      <c r="B40" s="5"/>
      <c r="C40" s="5"/>
      <c r="D40" s="8"/>
      <c r="E40" s="12" t="str">
        <f aca="false">IF(OR(D40="",D40=0,A40="",C40=""),"",IF(A40&lt;Start!$B$13,"vor Beginn",A40+IF(OR(C40="Kundenzahlungen (regelmäßig)",C40="Kundenzahlungen (neue Aufträge)"),Start!$B$11,0)))</f>
        <v/>
      </c>
    </row>
    <row r="41" customFormat="false" ht="15" hidden="false" customHeight="false" outlineLevel="0" collapsed="false">
      <c r="A41" s="7"/>
      <c r="B41" s="5"/>
      <c r="C41" s="5"/>
      <c r="D41" s="8"/>
      <c r="E41" s="12" t="str">
        <f aca="false">IF(OR(D41="",D41=0,A41="",C41=""),"",IF(A41&lt;Start!$B$13,"vor Beginn",A41+IF(OR(C41="Kundenzahlungen (regelmäßig)",C41="Kundenzahlungen (neue Aufträge)"),Start!$B$11,0)))</f>
        <v/>
      </c>
    </row>
    <row r="42" customFormat="false" ht="15" hidden="false" customHeight="false" outlineLevel="0" collapsed="false">
      <c r="A42" s="7"/>
      <c r="B42" s="5"/>
      <c r="C42" s="5"/>
      <c r="D42" s="8"/>
      <c r="E42" s="12" t="str">
        <f aca="false">IF(OR(D42="",D42=0,A42="",C42=""),"",IF(A42&lt;Start!$B$13,"vor Beginn",A42+IF(OR(C42="Kundenzahlungen (regelmäßig)",C42="Kundenzahlungen (neue Aufträge)"),Start!$B$11,0)))</f>
        <v/>
      </c>
    </row>
    <row r="43" customFormat="false" ht="15" hidden="false" customHeight="false" outlineLevel="0" collapsed="false">
      <c r="A43" s="7"/>
      <c r="B43" s="5"/>
      <c r="C43" s="5"/>
      <c r="D43" s="8"/>
      <c r="E43" s="12" t="str">
        <f aca="false">IF(OR(D43="",D43=0,A43="",C43=""),"",IF(A43&lt;Start!$B$13,"vor Beginn",A43+IF(OR(C43="Kundenzahlungen (regelmäßig)",C43="Kundenzahlungen (neue Aufträge)"),Start!$B$11,0)))</f>
        <v/>
      </c>
    </row>
    <row r="44" customFormat="false" ht="15" hidden="false" customHeight="false" outlineLevel="0" collapsed="false">
      <c r="A44" s="7"/>
      <c r="B44" s="5"/>
      <c r="C44" s="5"/>
      <c r="D44" s="8"/>
      <c r="E44" s="12" t="str">
        <f aca="false">IF(OR(D44="",D44=0,A44="",C44=""),"",IF(A44&lt;Start!$B$13,"vor Beginn",A44+IF(OR(C44="Kundenzahlungen (regelmäßig)",C44="Kundenzahlungen (neue Aufträge)"),Start!$B$11,0)))</f>
        <v/>
      </c>
    </row>
    <row r="45" customFormat="false" ht="15" hidden="false" customHeight="false" outlineLevel="0" collapsed="false">
      <c r="A45" s="7"/>
      <c r="B45" s="5"/>
      <c r="C45" s="5"/>
      <c r="D45" s="8"/>
      <c r="E45" s="12" t="str">
        <f aca="false">IF(OR(D45="",D45=0,A45="",C45=""),"",IF(A45&lt;Start!$B$13,"vor Beginn",A45+IF(OR(C45="Kundenzahlungen (regelmäßig)",C45="Kundenzahlungen (neue Aufträge)"),Start!$B$11,0)))</f>
        <v/>
      </c>
    </row>
    <row r="46" customFormat="false" ht="15" hidden="false" customHeight="false" outlineLevel="0" collapsed="false">
      <c r="A46" s="7"/>
      <c r="B46" s="5"/>
      <c r="C46" s="5"/>
      <c r="D46" s="8"/>
      <c r="E46" s="12" t="str">
        <f aca="false">IF(OR(D46="",D46=0,A46="",C46=""),"",IF(A46&lt;Start!$B$13,"vor Beginn",A46+IF(OR(C46="Kundenzahlungen (regelmäßig)",C46="Kundenzahlungen (neue Aufträge)"),Start!$B$11,0)))</f>
        <v/>
      </c>
    </row>
    <row r="47" customFormat="false" ht="15" hidden="false" customHeight="false" outlineLevel="0" collapsed="false">
      <c r="A47" s="7"/>
      <c r="B47" s="5"/>
      <c r="C47" s="5"/>
      <c r="D47" s="8"/>
      <c r="E47" s="12" t="str">
        <f aca="false">IF(OR(D47="",D47=0,A47="",C47=""),"",IF(A47&lt;Start!$B$13,"vor Beginn",A47+IF(OR(C47="Kundenzahlungen (regelmäßig)",C47="Kundenzahlungen (neue Aufträge)"),Start!$B$11,0)))</f>
        <v/>
      </c>
    </row>
    <row r="48" customFormat="false" ht="15" hidden="false" customHeight="false" outlineLevel="0" collapsed="false">
      <c r="A48" s="7"/>
      <c r="B48" s="5"/>
      <c r="C48" s="5"/>
      <c r="D48" s="8"/>
      <c r="E48" s="12" t="str">
        <f aca="false">IF(OR(D48="",D48=0,A48="",C48=""),"",IF(A48&lt;Start!$B$13,"vor Beginn",A48+IF(OR(C48="Kundenzahlungen (regelmäßig)",C48="Kundenzahlungen (neue Aufträge)"),Start!$B$11,0)))</f>
        <v/>
      </c>
    </row>
    <row r="49" customFormat="false" ht="15" hidden="false" customHeight="false" outlineLevel="0" collapsed="false">
      <c r="A49" s="7"/>
      <c r="B49" s="5"/>
      <c r="C49" s="5"/>
      <c r="D49" s="8"/>
      <c r="E49" s="12" t="str">
        <f aca="false">IF(OR(D49="",D49=0,A49="",C49=""),"",IF(A49&lt;Start!$B$13,"vor Beginn",A49+IF(OR(C49="Kundenzahlungen (regelmäßig)",C49="Kundenzahlungen (neue Aufträge)"),Start!$B$11,0)))</f>
        <v/>
      </c>
    </row>
    <row r="50" customFormat="false" ht="15" hidden="false" customHeight="false" outlineLevel="0" collapsed="false">
      <c r="A50" s="7"/>
      <c r="B50" s="5"/>
      <c r="C50" s="5"/>
      <c r="D50" s="8"/>
      <c r="E50" s="12" t="str">
        <f aca="false">IF(OR(D50="",D50=0,A50="",C50=""),"",IF(A50&lt;Start!$B$13,"vor Beginn",A50+IF(OR(C50="Kundenzahlungen (regelmäßig)",C50="Kundenzahlungen (neue Aufträge)"),Start!$B$11,0)))</f>
        <v/>
      </c>
    </row>
    <row r="51" customFormat="false" ht="15" hidden="false" customHeight="false" outlineLevel="0" collapsed="false">
      <c r="A51" s="7"/>
      <c r="B51" s="5"/>
      <c r="C51" s="5"/>
      <c r="D51" s="8"/>
      <c r="E51" s="12" t="str">
        <f aca="false">IF(OR(D51="",D51=0,A51="",C51=""),"",IF(A51&lt;Start!$B$13,"vor Beginn",A51+IF(OR(C51="Kundenzahlungen (regelmäßig)",C51="Kundenzahlungen (neue Aufträge)"),Start!$B$11,0)))</f>
        <v/>
      </c>
    </row>
    <row r="52" customFormat="false" ht="15" hidden="false" customHeight="false" outlineLevel="0" collapsed="false">
      <c r="A52" s="7"/>
      <c r="B52" s="5"/>
      <c r="C52" s="5"/>
      <c r="D52" s="8"/>
      <c r="E52" s="12" t="str">
        <f aca="false">IF(OR(D52="",D52=0,A52="",C52=""),"",IF(A52&lt;Start!$B$13,"vor Beginn",A52+IF(OR(C52="Kundenzahlungen (regelmäßig)",C52="Kundenzahlungen (neue Aufträge)"),Start!$B$11,0)))</f>
        <v/>
      </c>
    </row>
    <row r="53" customFormat="false" ht="15" hidden="false" customHeight="false" outlineLevel="0" collapsed="false">
      <c r="A53" s="7"/>
      <c r="B53" s="5"/>
      <c r="C53" s="5"/>
      <c r="D53" s="8"/>
      <c r="E53" s="12" t="str">
        <f aca="false">IF(OR(D53="",D53=0,A53="",C53=""),"",IF(A53&lt;Start!$B$13,"vor Beginn",A53+IF(OR(C53="Kundenzahlungen (regelmäßig)",C53="Kundenzahlungen (neue Aufträge)"),Start!$B$11,0)))</f>
        <v/>
      </c>
    </row>
    <row r="54" customFormat="false" ht="15" hidden="false" customHeight="false" outlineLevel="0" collapsed="false">
      <c r="A54" s="7"/>
      <c r="B54" s="5"/>
      <c r="C54" s="5"/>
      <c r="D54" s="8"/>
      <c r="E54" s="12" t="str">
        <f aca="false">IF(OR(D54="",D54=0,A54="",C54=""),"",IF(A54&lt;Start!$B$13,"vor Beginn",A54+IF(OR(C54="Kundenzahlungen (regelmäßig)",C54="Kundenzahlungen (neue Aufträge)"),Start!$B$11,0)))</f>
        <v/>
      </c>
    </row>
    <row r="55" customFormat="false" ht="15" hidden="false" customHeight="false" outlineLevel="0" collapsed="false">
      <c r="A55" s="7"/>
      <c r="B55" s="5"/>
      <c r="C55" s="5"/>
      <c r="D55" s="8"/>
      <c r="E55" s="12" t="str">
        <f aca="false">IF(OR(D55="",D55=0,A55="",C55=""),"",IF(A55&lt;Start!$B$13,"vor Beginn",A55+IF(OR(C55="Kundenzahlungen (regelmäßig)",C55="Kundenzahlungen (neue Aufträge)"),Start!$B$11,0)))</f>
        <v/>
      </c>
    </row>
    <row r="56" customFormat="false" ht="15" hidden="false" customHeight="false" outlineLevel="0" collapsed="false">
      <c r="A56" s="7"/>
      <c r="B56" s="5"/>
      <c r="C56" s="5"/>
      <c r="D56" s="8"/>
      <c r="E56" s="12" t="str">
        <f aca="false">IF(OR(D56="",D56=0,A56="",C56=""),"",IF(A56&lt;Start!$B$13,"vor Beginn",A56+IF(OR(C56="Kundenzahlungen (regelmäßig)",C56="Kundenzahlungen (neue Aufträge)"),Start!$B$11,0)))</f>
        <v/>
      </c>
    </row>
    <row r="57" customFormat="false" ht="15" hidden="false" customHeight="false" outlineLevel="0" collapsed="false">
      <c r="A57" s="7"/>
      <c r="B57" s="5"/>
      <c r="C57" s="5"/>
      <c r="D57" s="8"/>
      <c r="E57" s="12" t="str">
        <f aca="false">IF(OR(D57="",D57=0,A57="",C57=""),"",IF(A57&lt;Start!$B$13,"vor Beginn",A57+IF(OR(C57="Kundenzahlungen (regelmäßig)",C57="Kundenzahlungen (neue Aufträge)"),Start!$B$11,0)))</f>
        <v/>
      </c>
    </row>
    <row r="58" customFormat="false" ht="15" hidden="false" customHeight="false" outlineLevel="0" collapsed="false">
      <c r="A58" s="7"/>
      <c r="B58" s="5"/>
      <c r="C58" s="5"/>
      <c r="D58" s="8"/>
      <c r="E58" s="12" t="str">
        <f aca="false">IF(OR(D58="",D58=0,A58="",C58=""),"",IF(A58&lt;Start!$B$13,"vor Beginn",A58+IF(OR(C58="Kundenzahlungen (regelmäßig)",C58="Kundenzahlungen (neue Aufträge)"),Start!$B$11,0)))</f>
        <v/>
      </c>
    </row>
    <row r="59" customFormat="false" ht="15" hidden="false" customHeight="false" outlineLevel="0" collapsed="false">
      <c r="A59" s="7"/>
      <c r="B59" s="5"/>
      <c r="C59" s="5"/>
      <c r="D59" s="8"/>
      <c r="E59" s="12" t="str">
        <f aca="false">IF(OR(D59="",D59=0,A59="",C59=""),"",IF(A59&lt;Start!$B$13,"vor Beginn",A59+IF(OR(C59="Kundenzahlungen (regelmäßig)",C59="Kundenzahlungen (neue Aufträge)"),Start!$B$11,0)))</f>
        <v/>
      </c>
    </row>
    <row r="60" customFormat="false" ht="15" hidden="false" customHeight="false" outlineLevel="0" collapsed="false">
      <c r="A60" s="7"/>
      <c r="B60" s="5"/>
      <c r="C60" s="5"/>
      <c r="D60" s="8"/>
      <c r="E60" s="12" t="str">
        <f aca="false">IF(OR(D60="",D60=0,A60="",C60=""),"",IF(A60&lt;Start!$B$13,"vor Beginn",A60+IF(OR(C60="Kundenzahlungen (regelmäßig)",C60="Kundenzahlungen (neue Aufträge)"),Start!$B$11,0)))</f>
        <v/>
      </c>
    </row>
    <row r="61" customFormat="false" ht="15" hidden="false" customHeight="false" outlineLevel="0" collapsed="false">
      <c r="A61" s="7"/>
      <c r="B61" s="5"/>
      <c r="C61" s="5"/>
      <c r="D61" s="8"/>
      <c r="E61" s="12" t="str">
        <f aca="false">IF(OR(D61="",D61=0,A61="",C61=""),"",IF(A61&lt;Start!$B$13,"vor Beginn",A61+IF(OR(C61="Kundenzahlungen (regelmäßig)",C61="Kundenzahlungen (neue Aufträge)"),Start!$B$11,0)))</f>
        <v/>
      </c>
    </row>
    <row r="62" customFormat="false" ht="15" hidden="false" customHeight="false" outlineLevel="0" collapsed="false">
      <c r="A62" s="7"/>
      <c r="B62" s="5"/>
      <c r="C62" s="5"/>
      <c r="D62" s="8"/>
      <c r="E62" s="12" t="str">
        <f aca="false">IF(OR(D62="",D62=0,A62="",C62=""),"",IF(A62&lt;Start!$B$13,"vor Beginn",A62+IF(OR(C62="Kundenzahlungen (regelmäßig)",C62="Kundenzahlungen (neue Aufträge)"),Start!$B$11,0)))</f>
        <v/>
      </c>
    </row>
    <row r="63" customFormat="false" ht="15" hidden="false" customHeight="false" outlineLevel="0" collapsed="false">
      <c r="A63" s="7"/>
      <c r="B63" s="5"/>
      <c r="C63" s="5"/>
      <c r="D63" s="8"/>
      <c r="E63" s="12" t="str">
        <f aca="false">IF(OR(D63="",D63=0,A63="",C63=""),"",IF(A63&lt;Start!$B$13,"vor Beginn",A63+IF(OR(C63="Kundenzahlungen (regelmäßig)",C63="Kundenzahlungen (neue Aufträge)"),Start!$B$11,0)))</f>
        <v/>
      </c>
    </row>
    <row r="64" customFormat="false" ht="15" hidden="false" customHeight="false" outlineLevel="0" collapsed="false">
      <c r="A64" s="7"/>
      <c r="B64" s="5"/>
      <c r="C64" s="5"/>
      <c r="D64" s="8"/>
      <c r="E64" s="12" t="str">
        <f aca="false">IF(OR(D64="",D64=0,A64="",C64=""),"",IF(A64&lt;Start!$B$13,"vor Beginn",A64+IF(OR(C64="Kundenzahlungen (regelmäßig)",C64="Kundenzahlungen (neue Aufträge)"),Start!$B$11,0)))</f>
        <v/>
      </c>
    </row>
    <row r="65" customFormat="false" ht="15" hidden="false" customHeight="false" outlineLevel="0" collapsed="false">
      <c r="A65" s="7"/>
      <c r="B65" s="5"/>
      <c r="C65" s="5"/>
      <c r="D65" s="8"/>
      <c r="E65" s="12" t="str">
        <f aca="false">IF(OR(D65="",D65=0,A65="",C65=""),"",IF(A65&lt;Start!$B$13,"vor Beginn",A65+IF(OR(C65="Kundenzahlungen (regelmäßig)",C65="Kundenzahlungen (neue Aufträge)"),Start!$B$11,0)))</f>
        <v/>
      </c>
    </row>
    <row r="66" customFormat="false" ht="15" hidden="false" customHeight="false" outlineLevel="0" collapsed="false">
      <c r="A66" s="7"/>
      <c r="B66" s="5"/>
      <c r="C66" s="5"/>
      <c r="D66" s="8"/>
      <c r="E66" s="12" t="str">
        <f aca="false">IF(OR(D66="",D66=0,A66="",C66=""),"",IF(A66&lt;Start!$B$13,"vor Beginn",A66+IF(OR(C66="Kundenzahlungen (regelmäßig)",C66="Kundenzahlungen (neue Aufträge)"),Start!$B$11,0)))</f>
        <v/>
      </c>
    </row>
    <row r="67" customFormat="false" ht="15" hidden="false" customHeight="false" outlineLevel="0" collapsed="false">
      <c r="A67" s="7"/>
      <c r="B67" s="5"/>
      <c r="C67" s="5"/>
      <c r="D67" s="8"/>
      <c r="E67" s="12" t="str">
        <f aca="false">IF(OR(D67="",D67=0,A67="",C67=""),"",IF(A67&lt;Start!$B$13,"vor Beginn",A67+IF(OR(C67="Kundenzahlungen (regelmäßig)",C67="Kundenzahlungen (neue Aufträge)"),Start!$B$11,0)))</f>
        <v/>
      </c>
    </row>
    <row r="68" customFormat="false" ht="15" hidden="false" customHeight="false" outlineLevel="0" collapsed="false">
      <c r="A68" s="7"/>
      <c r="B68" s="5"/>
      <c r="C68" s="5"/>
      <c r="D68" s="8"/>
      <c r="E68" s="12" t="str">
        <f aca="false">IF(OR(D68="",D68=0,A68="",C68=""),"",IF(A68&lt;Start!$B$13,"vor Beginn",A68+IF(OR(C68="Kundenzahlungen (regelmäßig)",C68="Kundenzahlungen (neue Aufträge)"),Start!$B$11,0)))</f>
        <v/>
      </c>
    </row>
    <row r="69" customFormat="false" ht="15" hidden="false" customHeight="false" outlineLevel="0" collapsed="false">
      <c r="A69" s="7"/>
      <c r="B69" s="5"/>
      <c r="C69" s="5"/>
      <c r="D69" s="8"/>
      <c r="E69" s="12" t="str">
        <f aca="false">IF(OR(D69="",D69=0,A69="",C69=""),"",IF(A69&lt;Start!$B$13,"vor Beginn",A69+IF(OR(C69="Kundenzahlungen (regelmäßig)",C69="Kundenzahlungen (neue Aufträge)"),Start!$B$11,0)))</f>
        <v/>
      </c>
    </row>
    <row r="70" customFormat="false" ht="15" hidden="false" customHeight="false" outlineLevel="0" collapsed="false">
      <c r="A70" s="7"/>
      <c r="B70" s="5"/>
      <c r="C70" s="5"/>
      <c r="D70" s="8"/>
      <c r="E70" s="12" t="str">
        <f aca="false">IF(OR(D70="",D70=0,A70="",C70=""),"",IF(A70&lt;Start!$B$13,"vor Beginn",A70+IF(OR(C70="Kundenzahlungen (regelmäßig)",C70="Kundenzahlungen (neue Aufträge)"),Start!$B$11,0)))</f>
        <v/>
      </c>
    </row>
    <row r="71" customFormat="false" ht="15" hidden="false" customHeight="false" outlineLevel="0" collapsed="false">
      <c r="A71" s="7"/>
      <c r="B71" s="5"/>
      <c r="C71" s="5"/>
      <c r="D71" s="8"/>
      <c r="E71" s="12" t="str">
        <f aca="false">IF(OR(D71="",D71=0,A71="",C71=""),"",IF(A71&lt;Start!$B$13,"vor Beginn",A71+IF(OR(C71="Kundenzahlungen (regelmäßig)",C71="Kundenzahlungen (neue Aufträge)"),Start!$B$11,0)))</f>
        <v/>
      </c>
    </row>
    <row r="72" customFormat="false" ht="15" hidden="false" customHeight="false" outlineLevel="0" collapsed="false">
      <c r="A72" s="7"/>
      <c r="B72" s="5"/>
      <c r="C72" s="5"/>
      <c r="D72" s="8"/>
      <c r="E72" s="12" t="str">
        <f aca="false">IF(OR(D72="",D72=0,A72="",C72=""),"",IF(A72&lt;Start!$B$13,"vor Beginn",A72+IF(OR(C72="Kundenzahlungen (regelmäßig)",C72="Kundenzahlungen (neue Aufträge)"),Start!$B$11,0)))</f>
        <v/>
      </c>
    </row>
    <row r="73" customFormat="false" ht="15" hidden="false" customHeight="false" outlineLevel="0" collapsed="false">
      <c r="A73" s="7"/>
      <c r="B73" s="5"/>
      <c r="C73" s="5"/>
      <c r="D73" s="8"/>
      <c r="E73" s="12" t="str">
        <f aca="false">IF(OR(D73="",D73=0,A73="",C73=""),"",IF(A73&lt;Start!$B$13,"vor Beginn",A73+IF(OR(C73="Kundenzahlungen (regelmäßig)",C73="Kundenzahlungen (neue Aufträge)"),Start!$B$11,0)))</f>
        <v/>
      </c>
    </row>
    <row r="74" customFormat="false" ht="15" hidden="false" customHeight="false" outlineLevel="0" collapsed="false">
      <c r="A74" s="7"/>
      <c r="B74" s="5"/>
      <c r="C74" s="5"/>
      <c r="D74" s="8"/>
      <c r="E74" s="12" t="str">
        <f aca="false">IF(OR(D74="",D74=0,A74="",C74=""),"",IF(A74&lt;Start!$B$13,"vor Beginn",A74+IF(OR(C74="Kundenzahlungen (regelmäßig)",C74="Kundenzahlungen (neue Aufträge)"),Start!$B$11,0)))</f>
        <v/>
      </c>
    </row>
    <row r="75" customFormat="false" ht="15" hidden="false" customHeight="false" outlineLevel="0" collapsed="false">
      <c r="A75" s="7"/>
      <c r="B75" s="5"/>
      <c r="C75" s="5"/>
      <c r="D75" s="8"/>
      <c r="E75" s="12" t="str">
        <f aca="false">IF(OR(D75="",D75=0,A75="",C75=""),"",IF(A75&lt;Start!$B$13,"vor Beginn",A75+IF(OR(C75="Kundenzahlungen (regelmäßig)",C75="Kundenzahlungen (neue Aufträge)"),Start!$B$11,0)))</f>
        <v/>
      </c>
    </row>
    <row r="76" customFormat="false" ht="15" hidden="false" customHeight="false" outlineLevel="0" collapsed="false">
      <c r="A76" s="7"/>
      <c r="B76" s="5"/>
      <c r="C76" s="5"/>
      <c r="D76" s="8"/>
      <c r="E76" s="12" t="str">
        <f aca="false">IF(OR(D76="",D76=0,A76="",C76=""),"",IF(A76&lt;Start!$B$13,"vor Beginn",A76+IF(OR(C76="Kundenzahlungen (regelmäßig)",C76="Kundenzahlungen (neue Aufträge)"),Start!$B$11,0)))</f>
        <v/>
      </c>
    </row>
    <row r="77" customFormat="false" ht="15" hidden="false" customHeight="false" outlineLevel="0" collapsed="false">
      <c r="A77" s="7"/>
      <c r="B77" s="5"/>
      <c r="C77" s="5"/>
      <c r="D77" s="8"/>
      <c r="E77" s="12" t="str">
        <f aca="false">IF(OR(D77="",D77=0,A77="",C77=""),"",IF(A77&lt;Start!$B$13,"vor Beginn",A77+IF(OR(C77="Kundenzahlungen (regelmäßig)",C77="Kundenzahlungen (neue Aufträge)"),Start!$B$11,0)))</f>
        <v/>
      </c>
    </row>
    <row r="78" customFormat="false" ht="15" hidden="false" customHeight="false" outlineLevel="0" collapsed="false">
      <c r="A78" s="7"/>
      <c r="B78" s="5"/>
      <c r="C78" s="5"/>
      <c r="D78" s="8"/>
      <c r="E78" s="12" t="str">
        <f aca="false">IF(OR(D78="",D78=0,A78="",C78=""),"",IF(A78&lt;Start!$B$13,"vor Beginn",A78+IF(OR(C78="Kundenzahlungen (regelmäßig)",C78="Kundenzahlungen (neue Aufträge)"),Start!$B$11,0)))</f>
        <v/>
      </c>
    </row>
    <row r="79" customFormat="false" ht="15" hidden="false" customHeight="false" outlineLevel="0" collapsed="false">
      <c r="A79" s="7"/>
      <c r="B79" s="5"/>
      <c r="C79" s="5"/>
      <c r="D79" s="8"/>
      <c r="E79" s="12" t="str">
        <f aca="false">IF(OR(D79="",D79=0,A79="",C79=""),"",IF(A79&lt;Start!$B$13,"vor Beginn",A79+IF(OR(C79="Kundenzahlungen (regelmäßig)",C79="Kundenzahlungen (neue Aufträge)"),Start!$B$11,0)))</f>
        <v/>
      </c>
    </row>
    <row r="80" customFormat="false" ht="15" hidden="false" customHeight="false" outlineLevel="0" collapsed="false">
      <c r="A80" s="7"/>
      <c r="B80" s="5"/>
      <c r="C80" s="5"/>
      <c r="D80" s="8"/>
      <c r="E80" s="12" t="str">
        <f aca="false">IF(OR(D80="",D80=0,A80="",C80=""),"",IF(A80&lt;Start!$B$13,"vor Beginn",A80+IF(OR(C80="Kundenzahlungen (regelmäßig)",C80="Kundenzahlungen (neue Aufträge)"),Start!$B$11,0)))</f>
        <v/>
      </c>
    </row>
    <row r="81" customFormat="false" ht="15" hidden="false" customHeight="false" outlineLevel="0" collapsed="false">
      <c r="A81" s="7"/>
      <c r="B81" s="5"/>
      <c r="C81" s="5"/>
      <c r="D81" s="8"/>
      <c r="E81" s="12" t="str">
        <f aca="false">IF(OR(D81="",D81=0,A81="",C81=""),"",IF(A81&lt;Start!$B$13,"vor Beginn",A81+IF(OR(C81="Kundenzahlungen (regelmäßig)",C81="Kundenzahlungen (neue Aufträge)"),Start!$B$11,0)))</f>
        <v/>
      </c>
    </row>
    <row r="82" customFormat="false" ht="15" hidden="false" customHeight="false" outlineLevel="0" collapsed="false">
      <c r="A82" s="7"/>
      <c r="B82" s="5"/>
      <c r="C82" s="5"/>
      <c r="D82" s="8"/>
      <c r="E82" s="12" t="str">
        <f aca="false">IF(OR(D82="",D82=0,A82="",C82=""),"",IF(A82&lt;Start!$B$13,"vor Beginn",A82+IF(OR(C82="Kundenzahlungen (regelmäßig)",C82="Kundenzahlungen (neue Aufträge)"),Start!$B$11,0)))</f>
        <v/>
      </c>
    </row>
    <row r="83" customFormat="false" ht="15" hidden="false" customHeight="false" outlineLevel="0" collapsed="false">
      <c r="A83" s="7"/>
      <c r="B83" s="5"/>
      <c r="C83" s="5"/>
      <c r="D83" s="8"/>
      <c r="E83" s="12" t="str">
        <f aca="false">IF(OR(D83="",D83=0,A83="",C83=""),"",IF(A83&lt;Start!$B$13,"vor Beginn",A83+IF(OR(C83="Kundenzahlungen (regelmäßig)",C83="Kundenzahlungen (neue Aufträge)"),Start!$B$11,0)))</f>
        <v/>
      </c>
    </row>
    <row r="84" customFormat="false" ht="15" hidden="false" customHeight="false" outlineLevel="0" collapsed="false">
      <c r="A84" s="7"/>
      <c r="B84" s="5"/>
      <c r="C84" s="5"/>
      <c r="D84" s="8"/>
      <c r="E84" s="12" t="str">
        <f aca="false">IF(OR(D84="",D84=0,A84="",C84=""),"",IF(A84&lt;Start!$B$13,"vor Beginn",A84+IF(OR(C84="Kundenzahlungen (regelmäßig)",C84="Kundenzahlungen (neue Aufträge)"),Start!$B$11,0)))</f>
        <v/>
      </c>
    </row>
    <row r="86" customFormat="false" ht="43.5" hidden="false" customHeight="true" outlineLevel="0" collapsed="false">
      <c r="A86" s="19" t="s">
        <v>70</v>
      </c>
      <c r="B86" s="19"/>
      <c r="C86" s="19"/>
      <c r="D86" s="19"/>
      <c r="E86" s="19"/>
    </row>
  </sheetData>
  <sheetProtection sheet="true" formatCells="false" formatColumns="false" formatRows="false"/>
  <mergeCells count="1">
    <mergeCell ref="A86:E86"/>
  </mergeCells>
  <conditionalFormatting sqref="A5:E84">
    <cfRule type="expression" priority="2" aboveAverage="0" equalAverage="0" bottom="0" percent="0" rank="0" text="" dxfId="0">
      <formula>$E5="vor Beginn"</formula>
    </cfRule>
    <cfRule type="expression" priority="3" aboveAverage="0" equalAverage="0" bottom="0" percent="0" rank="0" text="" dxfId="1">
      <formula>AND($D5&gt;0,OR($A5="",$C5=""))</formula>
    </cfRule>
  </conditionalFormatting>
  <dataValidations count="3">
    <dataValidation allowBlank="true" error="Bitte ein Datum eingeben, z. B. 15.03.2027." errorStyle="stop" operator="between" showDropDown="false" showErrorMessage="true" showInputMessage="false" sqref="A5:A84" type="date">
      <formula1>36526</formula1>
      <formula2>73051</formula2>
    </dataValidation>
    <dataValidation allowBlank="true" error="Bitte einen positiven Betrag eingeben; ob Ein- oder Auszahlung, ergibt sich aus der Kategorie." errorStyle="stop" operator="between" showDropDown="false" showErrorMessage="true" showInputMessage="false" sqref="D5:D84" type="decimal">
      <formula1>0</formula1>
      <formula2>100000000</formula2>
    </dataValidation>
    <dataValidation allowBlank="true" error="Bitte einen Wert aus der Liste wählen." errorStyle="stop" operator="between" showDropDown="false" showErrorMessage="true" showInputMessage="false" sqref="C5:C84" type="list">
      <formula1>Listen!$A$2:$A$21</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14" min="2" style="0" width="11"/>
    <col collapsed="false" customWidth="true" hidden="false" outlineLevel="0" max="15" min="15" style="0" width="12"/>
  </cols>
  <sheetData>
    <row r="1" customFormat="false" ht="17.35" hidden="false" customHeight="false" outlineLevel="0" collapsed="false">
      <c r="A1" s="1" t="s">
        <v>71</v>
      </c>
    </row>
    <row r="2" customFormat="false" ht="15" hidden="false" customHeight="false" outlineLevel="0" collapsed="false">
      <c r="A2" s="15" t="s">
        <v>72</v>
      </c>
    </row>
    <row r="3" customFormat="false" ht="15" hidden="false" customHeight="false" outlineLevel="0" collapsed="false">
      <c r="A3" s="26" t="str">
        <f aca="false">IF(ISNUMBER(Start!$B$6),"","Planungsbeginn im Blatt Start fehlt – gerechnet wird vorläufig ab dieser Woche.")</f>
        <v/>
      </c>
    </row>
    <row r="4" customFormat="false" ht="15" hidden="false" customHeight="false" outlineLevel="0" collapsed="false">
      <c r="A4" s="16"/>
      <c r="B4" s="27" t="str">
        <f aca="false">"KW "&amp;TEXT(WEEKNUM((Start!$B$13+0),21),"00")</f>
        <v>KW 45</v>
      </c>
      <c r="C4" s="27" t="str">
        <f aca="false">"KW "&amp;TEXT(WEEKNUM((Start!$B$13+7),21),"00")</f>
        <v>KW 46</v>
      </c>
      <c r="D4" s="27" t="str">
        <f aca="false">"KW "&amp;TEXT(WEEKNUM((Start!$B$13+14),21),"00")</f>
        <v>KW 47</v>
      </c>
      <c r="E4" s="27" t="str">
        <f aca="false">"KW "&amp;TEXT(WEEKNUM((Start!$B$13+21),21),"00")</f>
        <v>KW 48</v>
      </c>
      <c r="F4" s="27" t="str">
        <f aca="false">"KW "&amp;TEXT(WEEKNUM((Start!$B$13+28),21),"00")</f>
        <v>KW 49</v>
      </c>
      <c r="G4" s="27" t="str">
        <f aca="false">"KW "&amp;TEXT(WEEKNUM((Start!$B$13+35),21),"00")</f>
        <v>KW 50</v>
      </c>
      <c r="H4" s="27" t="str">
        <f aca="false">"KW "&amp;TEXT(WEEKNUM((Start!$B$13+42),21),"00")</f>
        <v>KW 51</v>
      </c>
      <c r="I4" s="27" t="str">
        <f aca="false">"KW "&amp;TEXT(WEEKNUM((Start!$B$13+49),21),"00")</f>
        <v>KW 52</v>
      </c>
      <c r="J4" s="27" t="str">
        <f aca="false">"KW "&amp;TEXT(WEEKNUM((Start!$B$13+56),21),"00")</f>
        <v>KW 53</v>
      </c>
      <c r="K4" s="27" t="str">
        <f aca="false">"KW "&amp;TEXT(WEEKNUM((Start!$B$13+63),21),"00")</f>
        <v>KW 01</v>
      </c>
      <c r="L4" s="27" t="str">
        <f aca="false">"KW "&amp;TEXT(WEEKNUM((Start!$B$13+70),21),"00")</f>
        <v>KW 02</v>
      </c>
      <c r="M4" s="27" t="str">
        <f aca="false">"KW "&amp;TEXT(WEEKNUM((Start!$B$13+77),21),"00")</f>
        <v>KW 03</v>
      </c>
      <c r="N4" s="27" t="str">
        <f aca="false">"KW "&amp;TEXT(WEEKNUM((Start!$B$13+84),21),"00")</f>
        <v>KW 04</v>
      </c>
      <c r="O4" s="16" t="s">
        <v>73</v>
      </c>
    </row>
    <row r="5" customFormat="false" ht="15" hidden="false" customHeight="false" outlineLevel="0" collapsed="false">
      <c r="A5" s="16" t="s">
        <v>74</v>
      </c>
      <c r="B5" s="28" t="n">
        <f aca="false">(Start!$B$13+0)</f>
        <v>46328</v>
      </c>
      <c r="C5" s="28" t="n">
        <f aca="false">(Start!$B$13+7)</f>
        <v>46335</v>
      </c>
      <c r="D5" s="28" t="n">
        <f aca="false">(Start!$B$13+14)</f>
        <v>46342</v>
      </c>
      <c r="E5" s="28" t="n">
        <f aca="false">(Start!$B$13+21)</f>
        <v>46349</v>
      </c>
      <c r="F5" s="28" t="n">
        <f aca="false">(Start!$B$13+28)</f>
        <v>46356</v>
      </c>
      <c r="G5" s="28" t="n">
        <f aca="false">(Start!$B$13+35)</f>
        <v>46363</v>
      </c>
      <c r="H5" s="28" t="n">
        <f aca="false">(Start!$B$13+42)</f>
        <v>46370</v>
      </c>
      <c r="I5" s="28" t="n">
        <f aca="false">(Start!$B$13+49)</f>
        <v>46377</v>
      </c>
      <c r="J5" s="28" t="n">
        <f aca="false">(Start!$B$13+56)</f>
        <v>46384</v>
      </c>
      <c r="K5" s="28" t="n">
        <f aca="false">(Start!$B$13+63)</f>
        <v>46391</v>
      </c>
      <c r="L5" s="28" t="n">
        <f aca="false">(Start!$B$13+70)</f>
        <v>46398</v>
      </c>
      <c r="M5" s="28" t="n">
        <f aca="false">(Start!$B$13+77)</f>
        <v>46405</v>
      </c>
      <c r="N5" s="28" t="n">
        <f aca="false">(Start!$B$13+84)</f>
        <v>46412</v>
      </c>
      <c r="O5" s="16"/>
    </row>
    <row r="6" customFormat="false" ht="15" hidden="false" customHeight="false" outlineLevel="0" collapsed="false">
      <c r="A6" s="3" t="s">
        <v>75</v>
      </c>
      <c r="B6" s="29" t="n">
        <f aca="false">Start!$B$7</f>
        <v>0</v>
      </c>
      <c r="C6" s="30" t="n">
        <f aca="false">B36</f>
        <v>0</v>
      </c>
      <c r="D6" s="30" t="n">
        <f aca="false">C36</f>
        <v>0</v>
      </c>
      <c r="E6" s="30" t="n">
        <f aca="false">D36</f>
        <v>0</v>
      </c>
      <c r="F6" s="30" t="n">
        <f aca="false">E36</f>
        <v>0</v>
      </c>
      <c r="G6" s="30" t="n">
        <f aca="false">F36</f>
        <v>0</v>
      </c>
      <c r="H6" s="30" t="n">
        <f aca="false">G36</f>
        <v>0</v>
      </c>
      <c r="I6" s="30" t="n">
        <f aca="false">H36</f>
        <v>0</v>
      </c>
      <c r="J6" s="30" t="n">
        <f aca="false">I36</f>
        <v>0</v>
      </c>
      <c r="K6" s="30" t="n">
        <f aca="false">J36</f>
        <v>0</v>
      </c>
      <c r="L6" s="30" t="n">
        <f aca="false">K36</f>
        <v>0</v>
      </c>
      <c r="M6" s="30" t="n">
        <f aca="false">L36</f>
        <v>0</v>
      </c>
      <c r="N6" s="30" t="n">
        <f aca="false">M36</f>
        <v>0</v>
      </c>
    </row>
    <row r="7" customFormat="false" ht="15" hidden="false" customHeight="false" outlineLevel="0" collapsed="false">
      <c r="A7" s="31" t="s">
        <v>76</v>
      </c>
      <c r="B7" s="32"/>
      <c r="C7" s="32"/>
      <c r="D7" s="32"/>
      <c r="E7" s="32"/>
      <c r="F7" s="32"/>
      <c r="G7" s="32"/>
      <c r="H7" s="32"/>
      <c r="I7" s="32"/>
      <c r="J7" s="32"/>
      <c r="K7" s="32"/>
      <c r="L7" s="32"/>
      <c r="M7" s="32"/>
      <c r="N7" s="32"/>
      <c r="O7" s="32"/>
    </row>
    <row r="8" customFormat="false" ht="15" hidden="false" customHeight="false" outlineLevel="0" collapsed="false">
      <c r="A8" s="4" t="s">
        <v>77</v>
      </c>
      <c r="B8" s="29" t="n">
        <f aca="false">SUMIFS('Offene Posten'!$C$5:$C$64,'Offene Posten'!$G$5:$G$64,"&gt;="&amp;B$5,'Offene Posten'!$G$5:$G$64,"&lt;="&amp;((Start!$B$13+6)))+SUMIFS('Offene Posten'!$C$5:$C$64,'Offene Posten'!$G$5:$G$64,"&lt;"&amp;B$5)</f>
        <v>0</v>
      </c>
      <c r="C8" s="29" t="n">
        <f aca="false">SUMIFS('Offene Posten'!$C$5:$C$64,'Offene Posten'!$G$5:$G$64,"&gt;="&amp;C$5,'Offene Posten'!$G$5:$G$64,"&lt;="&amp;((Start!$B$13+13)))</f>
        <v>0</v>
      </c>
      <c r="D8" s="29" t="n">
        <f aca="false">SUMIFS('Offene Posten'!$C$5:$C$64,'Offene Posten'!$G$5:$G$64,"&gt;="&amp;D$5,'Offene Posten'!$G$5:$G$64,"&lt;="&amp;((Start!$B$13+20)))</f>
        <v>0</v>
      </c>
      <c r="E8" s="29" t="n">
        <f aca="false">SUMIFS('Offene Posten'!$C$5:$C$64,'Offene Posten'!$G$5:$G$64,"&gt;="&amp;E$5,'Offene Posten'!$G$5:$G$64,"&lt;="&amp;((Start!$B$13+27)))</f>
        <v>0</v>
      </c>
      <c r="F8" s="29" t="n">
        <f aca="false">SUMIFS('Offene Posten'!$C$5:$C$64,'Offene Posten'!$G$5:$G$64,"&gt;="&amp;F$5,'Offene Posten'!$G$5:$G$64,"&lt;="&amp;((Start!$B$13+34)))</f>
        <v>0</v>
      </c>
      <c r="G8" s="29" t="n">
        <f aca="false">SUMIFS('Offene Posten'!$C$5:$C$64,'Offene Posten'!$G$5:$G$64,"&gt;="&amp;G$5,'Offene Posten'!$G$5:$G$64,"&lt;="&amp;((Start!$B$13+41)))</f>
        <v>0</v>
      </c>
      <c r="H8" s="29" t="n">
        <f aca="false">SUMIFS('Offene Posten'!$C$5:$C$64,'Offene Posten'!$G$5:$G$64,"&gt;="&amp;H$5,'Offene Posten'!$G$5:$G$64,"&lt;="&amp;((Start!$B$13+48)))</f>
        <v>0</v>
      </c>
      <c r="I8" s="29" t="n">
        <f aca="false">SUMIFS('Offene Posten'!$C$5:$C$64,'Offene Posten'!$G$5:$G$64,"&gt;="&amp;I$5,'Offene Posten'!$G$5:$G$64,"&lt;="&amp;((Start!$B$13+55)))</f>
        <v>0</v>
      </c>
      <c r="J8" s="29" t="n">
        <f aca="false">SUMIFS('Offene Posten'!$C$5:$C$64,'Offene Posten'!$G$5:$G$64,"&gt;="&amp;J$5,'Offene Posten'!$G$5:$G$64,"&lt;="&amp;((Start!$B$13+62)))</f>
        <v>0</v>
      </c>
      <c r="K8" s="29" t="n">
        <f aca="false">SUMIFS('Offene Posten'!$C$5:$C$64,'Offene Posten'!$G$5:$G$64,"&gt;="&amp;K$5,'Offene Posten'!$G$5:$G$64,"&lt;="&amp;((Start!$B$13+69)))</f>
        <v>0</v>
      </c>
      <c r="L8" s="29" t="n">
        <f aca="false">SUMIFS('Offene Posten'!$C$5:$C$64,'Offene Posten'!$G$5:$G$64,"&gt;="&amp;L$5,'Offene Posten'!$G$5:$G$64,"&lt;="&amp;((Start!$B$13+76)))</f>
        <v>0</v>
      </c>
      <c r="M8" s="29" t="n">
        <f aca="false">SUMIFS('Offene Posten'!$C$5:$C$64,'Offene Posten'!$G$5:$G$64,"&gt;="&amp;M$5,'Offene Posten'!$G$5:$G$64,"&lt;="&amp;((Start!$B$13+83)))</f>
        <v>0</v>
      </c>
      <c r="N8" s="29" t="n">
        <f aca="false">SUMIFS('Offene Posten'!$C$5:$C$64,'Offene Posten'!$G$5:$G$64,"&gt;="&amp;N$5,'Offene Posten'!$G$5:$G$64,"&lt;="&amp;((Start!$B$13+90)))</f>
        <v>0</v>
      </c>
      <c r="O8" s="30" t="n">
        <f aca="false">SUM(B8:N8)</f>
        <v>0</v>
      </c>
    </row>
    <row r="9" customFormat="false" ht="15" hidden="false" customHeight="false" outlineLevel="0" collapsed="false">
      <c r="A9" s="4" t="s">
        <v>78</v>
      </c>
      <c r="B9" s="29" t="n">
        <f aca="false">SUMIF(Zahlungen!$B$7:$B$46,"Kundenzahlungen (regelmäßig)",Zahlungen!$H$7:$H$46)+SUMIFS(Einzelzahlungen!$D$5:$D$84,Einzelzahlungen!$C$5:$C$84,"Kundenzahlungen (regelmäßig)",Einzelzahlungen!$E$5:$E$84,"&gt;="&amp;B$5,Einzelzahlungen!$E$5:$E$84,"&lt;="&amp;((Start!$B$13+6)))</f>
        <v>0</v>
      </c>
      <c r="C9" s="29" t="n">
        <f aca="false">SUMIF(Zahlungen!$B$7:$B$46,"Kundenzahlungen (regelmäßig)",Zahlungen!$I$7:$I$46)+SUMIFS(Einzelzahlungen!$D$5:$D$84,Einzelzahlungen!$C$5:$C$84,"Kundenzahlungen (regelmäßig)",Einzelzahlungen!$E$5:$E$84,"&gt;="&amp;C$5,Einzelzahlungen!$E$5:$E$84,"&lt;="&amp;((Start!$B$13+13)))</f>
        <v>0</v>
      </c>
      <c r="D9" s="29" t="n">
        <f aca="false">SUMIF(Zahlungen!$B$7:$B$46,"Kundenzahlungen (regelmäßig)",Zahlungen!$J$7:$J$46)+SUMIFS(Einzelzahlungen!$D$5:$D$84,Einzelzahlungen!$C$5:$C$84,"Kundenzahlungen (regelmäßig)",Einzelzahlungen!$E$5:$E$84,"&gt;="&amp;D$5,Einzelzahlungen!$E$5:$E$84,"&lt;="&amp;((Start!$B$13+20)))</f>
        <v>0</v>
      </c>
      <c r="E9" s="29" t="n">
        <f aca="false">SUMIF(Zahlungen!$B$7:$B$46,"Kundenzahlungen (regelmäßig)",Zahlungen!$K$7:$K$46)+SUMIFS(Einzelzahlungen!$D$5:$D$84,Einzelzahlungen!$C$5:$C$84,"Kundenzahlungen (regelmäßig)",Einzelzahlungen!$E$5:$E$84,"&gt;="&amp;E$5,Einzelzahlungen!$E$5:$E$84,"&lt;="&amp;((Start!$B$13+27)))</f>
        <v>0</v>
      </c>
      <c r="F9" s="29" t="n">
        <f aca="false">SUMIF(Zahlungen!$B$7:$B$46,"Kundenzahlungen (regelmäßig)",Zahlungen!$L$7:$L$46)+SUMIFS(Einzelzahlungen!$D$5:$D$84,Einzelzahlungen!$C$5:$C$84,"Kundenzahlungen (regelmäßig)",Einzelzahlungen!$E$5:$E$84,"&gt;="&amp;F$5,Einzelzahlungen!$E$5:$E$84,"&lt;="&amp;((Start!$B$13+34)))</f>
        <v>0</v>
      </c>
      <c r="G9" s="29" t="n">
        <f aca="false">SUMIF(Zahlungen!$B$7:$B$46,"Kundenzahlungen (regelmäßig)",Zahlungen!$M$7:$M$46)+SUMIFS(Einzelzahlungen!$D$5:$D$84,Einzelzahlungen!$C$5:$C$84,"Kundenzahlungen (regelmäßig)",Einzelzahlungen!$E$5:$E$84,"&gt;="&amp;G$5,Einzelzahlungen!$E$5:$E$84,"&lt;="&amp;((Start!$B$13+41)))</f>
        <v>0</v>
      </c>
      <c r="H9" s="29" t="n">
        <f aca="false">SUMIF(Zahlungen!$B$7:$B$46,"Kundenzahlungen (regelmäßig)",Zahlungen!$N$7:$N$46)+SUMIFS(Einzelzahlungen!$D$5:$D$84,Einzelzahlungen!$C$5:$C$84,"Kundenzahlungen (regelmäßig)",Einzelzahlungen!$E$5:$E$84,"&gt;="&amp;H$5,Einzelzahlungen!$E$5:$E$84,"&lt;="&amp;((Start!$B$13+48)))</f>
        <v>0</v>
      </c>
      <c r="I9" s="29" t="n">
        <f aca="false">SUMIF(Zahlungen!$B$7:$B$46,"Kundenzahlungen (regelmäßig)",Zahlungen!$O$7:$O$46)+SUMIFS(Einzelzahlungen!$D$5:$D$84,Einzelzahlungen!$C$5:$C$84,"Kundenzahlungen (regelmäßig)",Einzelzahlungen!$E$5:$E$84,"&gt;="&amp;I$5,Einzelzahlungen!$E$5:$E$84,"&lt;="&amp;((Start!$B$13+55)))</f>
        <v>0</v>
      </c>
      <c r="J9" s="29" t="n">
        <f aca="false">SUMIF(Zahlungen!$B$7:$B$46,"Kundenzahlungen (regelmäßig)",Zahlungen!$P$7:$P$46)+SUMIFS(Einzelzahlungen!$D$5:$D$84,Einzelzahlungen!$C$5:$C$84,"Kundenzahlungen (regelmäßig)",Einzelzahlungen!$E$5:$E$84,"&gt;="&amp;J$5,Einzelzahlungen!$E$5:$E$84,"&lt;="&amp;((Start!$B$13+62)))</f>
        <v>0</v>
      </c>
      <c r="K9" s="29" t="n">
        <f aca="false">SUMIF(Zahlungen!$B$7:$B$46,"Kundenzahlungen (regelmäßig)",Zahlungen!$Q$7:$Q$46)+SUMIFS(Einzelzahlungen!$D$5:$D$84,Einzelzahlungen!$C$5:$C$84,"Kundenzahlungen (regelmäßig)",Einzelzahlungen!$E$5:$E$84,"&gt;="&amp;K$5,Einzelzahlungen!$E$5:$E$84,"&lt;="&amp;((Start!$B$13+69)))</f>
        <v>0</v>
      </c>
      <c r="L9" s="29" t="n">
        <f aca="false">SUMIF(Zahlungen!$B$7:$B$46,"Kundenzahlungen (regelmäßig)",Zahlungen!$R$7:$R$46)+SUMIFS(Einzelzahlungen!$D$5:$D$84,Einzelzahlungen!$C$5:$C$84,"Kundenzahlungen (regelmäßig)",Einzelzahlungen!$E$5:$E$84,"&gt;="&amp;L$5,Einzelzahlungen!$E$5:$E$84,"&lt;="&amp;((Start!$B$13+76)))</f>
        <v>0</v>
      </c>
      <c r="M9" s="29" t="n">
        <f aca="false">SUMIF(Zahlungen!$B$7:$B$46,"Kundenzahlungen (regelmäßig)",Zahlungen!$S$7:$S$46)+SUMIFS(Einzelzahlungen!$D$5:$D$84,Einzelzahlungen!$C$5:$C$84,"Kundenzahlungen (regelmäßig)",Einzelzahlungen!$E$5:$E$84,"&gt;="&amp;M$5,Einzelzahlungen!$E$5:$E$84,"&lt;="&amp;((Start!$B$13+83)))</f>
        <v>0</v>
      </c>
      <c r="N9" s="29" t="n">
        <f aca="false">SUMIF(Zahlungen!$B$7:$B$46,"Kundenzahlungen (regelmäßig)",Zahlungen!$T$7:$T$46)+SUMIFS(Einzelzahlungen!$D$5:$D$84,Einzelzahlungen!$C$5:$C$84,"Kundenzahlungen (regelmäßig)",Einzelzahlungen!$E$5:$E$84,"&gt;="&amp;N$5,Einzelzahlungen!$E$5:$E$84,"&lt;="&amp;((Start!$B$13+90)))</f>
        <v>0</v>
      </c>
      <c r="O9" s="30" t="n">
        <f aca="false">SUM(B9:N9)</f>
        <v>0</v>
      </c>
    </row>
    <row r="10" customFormat="false" ht="15" hidden="false" customHeight="false" outlineLevel="0" collapsed="false">
      <c r="A10" s="4" t="s">
        <v>79</v>
      </c>
      <c r="B10" s="29" t="n">
        <f aca="false">SUMIF(Zahlungen!$B$7:$B$46,"Kundenzahlungen (neue Aufträge)",Zahlungen!$H$7:$H$46)+SUMIFS(Einzelzahlungen!$D$5:$D$84,Einzelzahlungen!$C$5:$C$84,"Kundenzahlungen (neue Aufträge)",Einzelzahlungen!$E$5:$E$84,"&gt;="&amp;B$5,Einzelzahlungen!$E$5:$E$84,"&lt;="&amp;((Start!$B$13+6)))</f>
        <v>0</v>
      </c>
      <c r="C10" s="29" t="n">
        <f aca="false">SUMIF(Zahlungen!$B$7:$B$46,"Kundenzahlungen (neue Aufträge)",Zahlungen!$I$7:$I$46)+SUMIFS(Einzelzahlungen!$D$5:$D$84,Einzelzahlungen!$C$5:$C$84,"Kundenzahlungen (neue Aufträge)",Einzelzahlungen!$E$5:$E$84,"&gt;="&amp;C$5,Einzelzahlungen!$E$5:$E$84,"&lt;="&amp;((Start!$B$13+13)))</f>
        <v>0</v>
      </c>
      <c r="D10" s="29" t="n">
        <f aca="false">SUMIF(Zahlungen!$B$7:$B$46,"Kundenzahlungen (neue Aufträge)",Zahlungen!$J$7:$J$46)+SUMIFS(Einzelzahlungen!$D$5:$D$84,Einzelzahlungen!$C$5:$C$84,"Kundenzahlungen (neue Aufträge)",Einzelzahlungen!$E$5:$E$84,"&gt;="&amp;D$5,Einzelzahlungen!$E$5:$E$84,"&lt;="&amp;((Start!$B$13+20)))</f>
        <v>0</v>
      </c>
      <c r="E10" s="29" t="n">
        <f aca="false">SUMIF(Zahlungen!$B$7:$B$46,"Kundenzahlungen (neue Aufträge)",Zahlungen!$K$7:$K$46)+SUMIFS(Einzelzahlungen!$D$5:$D$84,Einzelzahlungen!$C$5:$C$84,"Kundenzahlungen (neue Aufträge)",Einzelzahlungen!$E$5:$E$84,"&gt;="&amp;E$5,Einzelzahlungen!$E$5:$E$84,"&lt;="&amp;((Start!$B$13+27)))</f>
        <v>0</v>
      </c>
      <c r="F10" s="29" t="n">
        <f aca="false">SUMIF(Zahlungen!$B$7:$B$46,"Kundenzahlungen (neue Aufträge)",Zahlungen!$L$7:$L$46)+SUMIFS(Einzelzahlungen!$D$5:$D$84,Einzelzahlungen!$C$5:$C$84,"Kundenzahlungen (neue Aufträge)",Einzelzahlungen!$E$5:$E$84,"&gt;="&amp;F$5,Einzelzahlungen!$E$5:$E$84,"&lt;="&amp;((Start!$B$13+34)))</f>
        <v>0</v>
      </c>
      <c r="G10" s="29" t="n">
        <f aca="false">SUMIF(Zahlungen!$B$7:$B$46,"Kundenzahlungen (neue Aufträge)",Zahlungen!$M$7:$M$46)+SUMIFS(Einzelzahlungen!$D$5:$D$84,Einzelzahlungen!$C$5:$C$84,"Kundenzahlungen (neue Aufträge)",Einzelzahlungen!$E$5:$E$84,"&gt;="&amp;G$5,Einzelzahlungen!$E$5:$E$84,"&lt;="&amp;((Start!$B$13+41)))</f>
        <v>0</v>
      </c>
      <c r="H10" s="29" t="n">
        <f aca="false">SUMIF(Zahlungen!$B$7:$B$46,"Kundenzahlungen (neue Aufträge)",Zahlungen!$N$7:$N$46)+SUMIFS(Einzelzahlungen!$D$5:$D$84,Einzelzahlungen!$C$5:$C$84,"Kundenzahlungen (neue Aufträge)",Einzelzahlungen!$E$5:$E$84,"&gt;="&amp;H$5,Einzelzahlungen!$E$5:$E$84,"&lt;="&amp;((Start!$B$13+48)))</f>
        <v>0</v>
      </c>
      <c r="I10" s="29" t="n">
        <f aca="false">SUMIF(Zahlungen!$B$7:$B$46,"Kundenzahlungen (neue Aufträge)",Zahlungen!$O$7:$O$46)+SUMIFS(Einzelzahlungen!$D$5:$D$84,Einzelzahlungen!$C$5:$C$84,"Kundenzahlungen (neue Aufträge)",Einzelzahlungen!$E$5:$E$84,"&gt;="&amp;I$5,Einzelzahlungen!$E$5:$E$84,"&lt;="&amp;((Start!$B$13+55)))</f>
        <v>0</v>
      </c>
      <c r="J10" s="29" t="n">
        <f aca="false">SUMIF(Zahlungen!$B$7:$B$46,"Kundenzahlungen (neue Aufträge)",Zahlungen!$P$7:$P$46)+SUMIFS(Einzelzahlungen!$D$5:$D$84,Einzelzahlungen!$C$5:$C$84,"Kundenzahlungen (neue Aufträge)",Einzelzahlungen!$E$5:$E$84,"&gt;="&amp;J$5,Einzelzahlungen!$E$5:$E$84,"&lt;="&amp;((Start!$B$13+62)))</f>
        <v>0</v>
      </c>
      <c r="K10" s="29" t="n">
        <f aca="false">SUMIF(Zahlungen!$B$7:$B$46,"Kundenzahlungen (neue Aufträge)",Zahlungen!$Q$7:$Q$46)+SUMIFS(Einzelzahlungen!$D$5:$D$84,Einzelzahlungen!$C$5:$C$84,"Kundenzahlungen (neue Aufträge)",Einzelzahlungen!$E$5:$E$84,"&gt;="&amp;K$5,Einzelzahlungen!$E$5:$E$84,"&lt;="&amp;((Start!$B$13+69)))</f>
        <v>0</v>
      </c>
      <c r="L10" s="29" t="n">
        <f aca="false">SUMIF(Zahlungen!$B$7:$B$46,"Kundenzahlungen (neue Aufträge)",Zahlungen!$R$7:$R$46)+SUMIFS(Einzelzahlungen!$D$5:$D$84,Einzelzahlungen!$C$5:$C$84,"Kundenzahlungen (neue Aufträge)",Einzelzahlungen!$E$5:$E$84,"&gt;="&amp;L$5,Einzelzahlungen!$E$5:$E$84,"&lt;="&amp;((Start!$B$13+76)))</f>
        <v>0</v>
      </c>
      <c r="M10" s="29" t="n">
        <f aca="false">SUMIF(Zahlungen!$B$7:$B$46,"Kundenzahlungen (neue Aufträge)",Zahlungen!$S$7:$S$46)+SUMIFS(Einzelzahlungen!$D$5:$D$84,Einzelzahlungen!$C$5:$C$84,"Kundenzahlungen (neue Aufträge)",Einzelzahlungen!$E$5:$E$84,"&gt;="&amp;M$5,Einzelzahlungen!$E$5:$E$84,"&lt;="&amp;((Start!$B$13+83)))</f>
        <v>0</v>
      </c>
      <c r="N10" s="29" t="n">
        <f aca="false">SUMIF(Zahlungen!$B$7:$B$46,"Kundenzahlungen (neue Aufträge)",Zahlungen!$T$7:$T$46)+SUMIFS(Einzelzahlungen!$D$5:$D$84,Einzelzahlungen!$C$5:$C$84,"Kundenzahlungen (neue Aufträge)",Einzelzahlungen!$E$5:$E$84,"&gt;="&amp;N$5,Einzelzahlungen!$E$5:$E$84,"&lt;="&amp;((Start!$B$13+90)))</f>
        <v>0</v>
      </c>
      <c r="O10" s="30" t="n">
        <f aca="false">SUM(B10:N10)</f>
        <v>0</v>
      </c>
    </row>
    <row r="11" customFormat="false" ht="15" hidden="false" customHeight="false" outlineLevel="0" collapsed="false">
      <c r="A11" s="4" t="s">
        <v>80</v>
      </c>
      <c r="B11" s="29" t="n">
        <f aca="false">SUMIF(Zahlungen!$B$7:$B$46,"Kredit, Einlage, Zuschuss",Zahlungen!$H$7:$H$46)+SUMIFS(Einzelzahlungen!$D$5:$D$84,Einzelzahlungen!$C$5:$C$84,"Kredit, Einlage, Zuschuss",Einzelzahlungen!$E$5:$E$84,"&gt;="&amp;B$5,Einzelzahlungen!$E$5:$E$84,"&lt;="&amp;((Start!$B$13+6)))</f>
        <v>0</v>
      </c>
      <c r="C11" s="29" t="n">
        <f aca="false">SUMIF(Zahlungen!$B$7:$B$46,"Kredit, Einlage, Zuschuss",Zahlungen!$I$7:$I$46)+SUMIFS(Einzelzahlungen!$D$5:$D$84,Einzelzahlungen!$C$5:$C$84,"Kredit, Einlage, Zuschuss",Einzelzahlungen!$E$5:$E$84,"&gt;="&amp;C$5,Einzelzahlungen!$E$5:$E$84,"&lt;="&amp;((Start!$B$13+13)))</f>
        <v>0</v>
      </c>
      <c r="D11" s="29" t="n">
        <f aca="false">SUMIF(Zahlungen!$B$7:$B$46,"Kredit, Einlage, Zuschuss",Zahlungen!$J$7:$J$46)+SUMIFS(Einzelzahlungen!$D$5:$D$84,Einzelzahlungen!$C$5:$C$84,"Kredit, Einlage, Zuschuss",Einzelzahlungen!$E$5:$E$84,"&gt;="&amp;D$5,Einzelzahlungen!$E$5:$E$84,"&lt;="&amp;((Start!$B$13+20)))</f>
        <v>0</v>
      </c>
      <c r="E11" s="29" t="n">
        <f aca="false">SUMIF(Zahlungen!$B$7:$B$46,"Kredit, Einlage, Zuschuss",Zahlungen!$K$7:$K$46)+SUMIFS(Einzelzahlungen!$D$5:$D$84,Einzelzahlungen!$C$5:$C$84,"Kredit, Einlage, Zuschuss",Einzelzahlungen!$E$5:$E$84,"&gt;="&amp;E$5,Einzelzahlungen!$E$5:$E$84,"&lt;="&amp;((Start!$B$13+27)))</f>
        <v>0</v>
      </c>
      <c r="F11" s="29" t="n">
        <f aca="false">SUMIF(Zahlungen!$B$7:$B$46,"Kredit, Einlage, Zuschuss",Zahlungen!$L$7:$L$46)+SUMIFS(Einzelzahlungen!$D$5:$D$84,Einzelzahlungen!$C$5:$C$84,"Kredit, Einlage, Zuschuss",Einzelzahlungen!$E$5:$E$84,"&gt;="&amp;F$5,Einzelzahlungen!$E$5:$E$84,"&lt;="&amp;((Start!$B$13+34)))</f>
        <v>0</v>
      </c>
      <c r="G11" s="29" t="n">
        <f aca="false">SUMIF(Zahlungen!$B$7:$B$46,"Kredit, Einlage, Zuschuss",Zahlungen!$M$7:$M$46)+SUMIFS(Einzelzahlungen!$D$5:$D$84,Einzelzahlungen!$C$5:$C$84,"Kredit, Einlage, Zuschuss",Einzelzahlungen!$E$5:$E$84,"&gt;="&amp;G$5,Einzelzahlungen!$E$5:$E$84,"&lt;="&amp;((Start!$B$13+41)))</f>
        <v>0</v>
      </c>
      <c r="H11" s="29" t="n">
        <f aca="false">SUMIF(Zahlungen!$B$7:$B$46,"Kredit, Einlage, Zuschuss",Zahlungen!$N$7:$N$46)+SUMIFS(Einzelzahlungen!$D$5:$D$84,Einzelzahlungen!$C$5:$C$84,"Kredit, Einlage, Zuschuss",Einzelzahlungen!$E$5:$E$84,"&gt;="&amp;H$5,Einzelzahlungen!$E$5:$E$84,"&lt;="&amp;((Start!$B$13+48)))</f>
        <v>0</v>
      </c>
      <c r="I11" s="29" t="n">
        <f aca="false">SUMIF(Zahlungen!$B$7:$B$46,"Kredit, Einlage, Zuschuss",Zahlungen!$O$7:$O$46)+SUMIFS(Einzelzahlungen!$D$5:$D$84,Einzelzahlungen!$C$5:$C$84,"Kredit, Einlage, Zuschuss",Einzelzahlungen!$E$5:$E$84,"&gt;="&amp;I$5,Einzelzahlungen!$E$5:$E$84,"&lt;="&amp;((Start!$B$13+55)))</f>
        <v>0</v>
      </c>
      <c r="J11" s="29" t="n">
        <f aca="false">SUMIF(Zahlungen!$B$7:$B$46,"Kredit, Einlage, Zuschuss",Zahlungen!$P$7:$P$46)+SUMIFS(Einzelzahlungen!$D$5:$D$84,Einzelzahlungen!$C$5:$C$84,"Kredit, Einlage, Zuschuss",Einzelzahlungen!$E$5:$E$84,"&gt;="&amp;J$5,Einzelzahlungen!$E$5:$E$84,"&lt;="&amp;((Start!$B$13+62)))</f>
        <v>0</v>
      </c>
      <c r="K11" s="29" t="n">
        <f aca="false">SUMIF(Zahlungen!$B$7:$B$46,"Kredit, Einlage, Zuschuss",Zahlungen!$Q$7:$Q$46)+SUMIFS(Einzelzahlungen!$D$5:$D$84,Einzelzahlungen!$C$5:$C$84,"Kredit, Einlage, Zuschuss",Einzelzahlungen!$E$5:$E$84,"&gt;="&amp;K$5,Einzelzahlungen!$E$5:$E$84,"&lt;="&amp;((Start!$B$13+69)))</f>
        <v>0</v>
      </c>
      <c r="L11" s="29" t="n">
        <f aca="false">SUMIF(Zahlungen!$B$7:$B$46,"Kredit, Einlage, Zuschuss",Zahlungen!$R$7:$R$46)+SUMIFS(Einzelzahlungen!$D$5:$D$84,Einzelzahlungen!$C$5:$C$84,"Kredit, Einlage, Zuschuss",Einzelzahlungen!$E$5:$E$84,"&gt;="&amp;L$5,Einzelzahlungen!$E$5:$E$84,"&lt;="&amp;((Start!$B$13+76)))</f>
        <v>0</v>
      </c>
      <c r="M11" s="29" t="n">
        <f aca="false">SUMIF(Zahlungen!$B$7:$B$46,"Kredit, Einlage, Zuschuss",Zahlungen!$S$7:$S$46)+SUMIFS(Einzelzahlungen!$D$5:$D$84,Einzelzahlungen!$C$5:$C$84,"Kredit, Einlage, Zuschuss",Einzelzahlungen!$E$5:$E$84,"&gt;="&amp;M$5,Einzelzahlungen!$E$5:$E$84,"&lt;="&amp;((Start!$B$13+83)))</f>
        <v>0</v>
      </c>
      <c r="N11" s="29" t="n">
        <f aca="false">SUMIF(Zahlungen!$B$7:$B$46,"Kredit, Einlage, Zuschuss",Zahlungen!$T$7:$T$46)+SUMIFS(Einzelzahlungen!$D$5:$D$84,Einzelzahlungen!$C$5:$C$84,"Kredit, Einlage, Zuschuss",Einzelzahlungen!$E$5:$E$84,"&gt;="&amp;N$5,Einzelzahlungen!$E$5:$E$84,"&lt;="&amp;((Start!$B$13+90)))</f>
        <v>0</v>
      </c>
      <c r="O11" s="30" t="n">
        <f aca="false">SUM(B11:N11)</f>
        <v>0</v>
      </c>
    </row>
    <row r="12" customFormat="false" ht="15" hidden="false" customHeight="false" outlineLevel="0" collapsed="false">
      <c r="A12" s="4" t="s">
        <v>81</v>
      </c>
      <c r="B12" s="29" t="n">
        <f aca="false">SUMIF(Zahlungen!$B$7:$B$46,"Steuererstattungen",Zahlungen!$H$7:$H$46)+SUMIFS(Einzelzahlungen!$D$5:$D$84,Einzelzahlungen!$C$5:$C$84,"Steuererstattungen",Einzelzahlungen!$E$5:$E$84,"&gt;="&amp;B$5,Einzelzahlungen!$E$5:$E$84,"&lt;="&amp;((Start!$B$13+6)))</f>
        <v>0</v>
      </c>
      <c r="C12" s="29" t="n">
        <f aca="false">SUMIF(Zahlungen!$B$7:$B$46,"Steuererstattungen",Zahlungen!$I$7:$I$46)+SUMIFS(Einzelzahlungen!$D$5:$D$84,Einzelzahlungen!$C$5:$C$84,"Steuererstattungen",Einzelzahlungen!$E$5:$E$84,"&gt;="&amp;C$5,Einzelzahlungen!$E$5:$E$84,"&lt;="&amp;((Start!$B$13+13)))</f>
        <v>0</v>
      </c>
      <c r="D12" s="29" t="n">
        <f aca="false">SUMIF(Zahlungen!$B$7:$B$46,"Steuererstattungen",Zahlungen!$J$7:$J$46)+SUMIFS(Einzelzahlungen!$D$5:$D$84,Einzelzahlungen!$C$5:$C$84,"Steuererstattungen",Einzelzahlungen!$E$5:$E$84,"&gt;="&amp;D$5,Einzelzahlungen!$E$5:$E$84,"&lt;="&amp;((Start!$B$13+20)))</f>
        <v>0</v>
      </c>
      <c r="E12" s="29" t="n">
        <f aca="false">SUMIF(Zahlungen!$B$7:$B$46,"Steuererstattungen",Zahlungen!$K$7:$K$46)+SUMIFS(Einzelzahlungen!$D$5:$D$84,Einzelzahlungen!$C$5:$C$84,"Steuererstattungen",Einzelzahlungen!$E$5:$E$84,"&gt;="&amp;E$5,Einzelzahlungen!$E$5:$E$84,"&lt;="&amp;((Start!$B$13+27)))</f>
        <v>0</v>
      </c>
      <c r="F12" s="29" t="n">
        <f aca="false">SUMIF(Zahlungen!$B$7:$B$46,"Steuererstattungen",Zahlungen!$L$7:$L$46)+SUMIFS(Einzelzahlungen!$D$5:$D$84,Einzelzahlungen!$C$5:$C$84,"Steuererstattungen",Einzelzahlungen!$E$5:$E$84,"&gt;="&amp;F$5,Einzelzahlungen!$E$5:$E$84,"&lt;="&amp;((Start!$B$13+34)))</f>
        <v>0</v>
      </c>
      <c r="G12" s="29" t="n">
        <f aca="false">SUMIF(Zahlungen!$B$7:$B$46,"Steuererstattungen",Zahlungen!$M$7:$M$46)+SUMIFS(Einzelzahlungen!$D$5:$D$84,Einzelzahlungen!$C$5:$C$84,"Steuererstattungen",Einzelzahlungen!$E$5:$E$84,"&gt;="&amp;G$5,Einzelzahlungen!$E$5:$E$84,"&lt;="&amp;((Start!$B$13+41)))</f>
        <v>0</v>
      </c>
      <c r="H12" s="29" t="n">
        <f aca="false">SUMIF(Zahlungen!$B$7:$B$46,"Steuererstattungen",Zahlungen!$N$7:$N$46)+SUMIFS(Einzelzahlungen!$D$5:$D$84,Einzelzahlungen!$C$5:$C$84,"Steuererstattungen",Einzelzahlungen!$E$5:$E$84,"&gt;="&amp;H$5,Einzelzahlungen!$E$5:$E$84,"&lt;="&amp;((Start!$B$13+48)))</f>
        <v>0</v>
      </c>
      <c r="I12" s="29" t="n">
        <f aca="false">SUMIF(Zahlungen!$B$7:$B$46,"Steuererstattungen",Zahlungen!$O$7:$O$46)+SUMIFS(Einzelzahlungen!$D$5:$D$84,Einzelzahlungen!$C$5:$C$84,"Steuererstattungen",Einzelzahlungen!$E$5:$E$84,"&gt;="&amp;I$5,Einzelzahlungen!$E$5:$E$84,"&lt;="&amp;((Start!$B$13+55)))</f>
        <v>0</v>
      </c>
      <c r="J12" s="29" t="n">
        <f aca="false">SUMIF(Zahlungen!$B$7:$B$46,"Steuererstattungen",Zahlungen!$P$7:$P$46)+SUMIFS(Einzelzahlungen!$D$5:$D$84,Einzelzahlungen!$C$5:$C$84,"Steuererstattungen",Einzelzahlungen!$E$5:$E$84,"&gt;="&amp;J$5,Einzelzahlungen!$E$5:$E$84,"&lt;="&amp;((Start!$B$13+62)))</f>
        <v>0</v>
      </c>
      <c r="K12" s="29" t="n">
        <f aca="false">SUMIF(Zahlungen!$B$7:$B$46,"Steuererstattungen",Zahlungen!$Q$7:$Q$46)+SUMIFS(Einzelzahlungen!$D$5:$D$84,Einzelzahlungen!$C$5:$C$84,"Steuererstattungen",Einzelzahlungen!$E$5:$E$84,"&gt;="&amp;K$5,Einzelzahlungen!$E$5:$E$84,"&lt;="&amp;((Start!$B$13+69)))</f>
        <v>0</v>
      </c>
      <c r="L12" s="29" t="n">
        <f aca="false">SUMIF(Zahlungen!$B$7:$B$46,"Steuererstattungen",Zahlungen!$R$7:$R$46)+SUMIFS(Einzelzahlungen!$D$5:$D$84,Einzelzahlungen!$C$5:$C$84,"Steuererstattungen",Einzelzahlungen!$E$5:$E$84,"&gt;="&amp;L$5,Einzelzahlungen!$E$5:$E$84,"&lt;="&amp;((Start!$B$13+76)))</f>
        <v>0</v>
      </c>
      <c r="M12" s="29" t="n">
        <f aca="false">SUMIF(Zahlungen!$B$7:$B$46,"Steuererstattungen",Zahlungen!$S$7:$S$46)+SUMIFS(Einzelzahlungen!$D$5:$D$84,Einzelzahlungen!$C$5:$C$84,"Steuererstattungen",Einzelzahlungen!$E$5:$E$84,"&gt;="&amp;M$5,Einzelzahlungen!$E$5:$E$84,"&lt;="&amp;((Start!$B$13+83)))</f>
        <v>0</v>
      </c>
      <c r="N12" s="29" t="n">
        <f aca="false">SUMIF(Zahlungen!$B$7:$B$46,"Steuererstattungen",Zahlungen!$T$7:$T$46)+SUMIFS(Einzelzahlungen!$D$5:$D$84,Einzelzahlungen!$C$5:$C$84,"Steuererstattungen",Einzelzahlungen!$E$5:$E$84,"&gt;="&amp;N$5,Einzelzahlungen!$E$5:$E$84,"&lt;="&amp;((Start!$B$13+90)))</f>
        <v>0</v>
      </c>
      <c r="O12" s="30" t="n">
        <f aca="false">SUM(B12:N12)</f>
        <v>0</v>
      </c>
    </row>
    <row r="13" customFormat="false" ht="15" hidden="false" customHeight="false" outlineLevel="0" collapsed="false">
      <c r="A13" s="4" t="s">
        <v>82</v>
      </c>
      <c r="B13" s="29" t="n">
        <f aca="false">SUMIF(Zahlungen!$B$7:$B$46,"Sonstige Einzahlungen",Zahlungen!$H$7:$H$46)+SUMIFS(Einzelzahlungen!$D$5:$D$84,Einzelzahlungen!$C$5:$C$84,"Sonstige Einzahlungen",Einzelzahlungen!$E$5:$E$84,"&gt;="&amp;B$5,Einzelzahlungen!$E$5:$E$84,"&lt;="&amp;((Start!$B$13+6)))</f>
        <v>0</v>
      </c>
      <c r="C13" s="29" t="n">
        <f aca="false">SUMIF(Zahlungen!$B$7:$B$46,"Sonstige Einzahlungen",Zahlungen!$I$7:$I$46)+SUMIFS(Einzelzahlungen!$D$5:$D$84,Einzelzahlungen!$C$5:$C$84,"Sonstige Einzahlungen",Einzelzahlungen!$E$5:$E$84,"&gt;="&amp;C$5,Einzelzahlungen!$E$5:$E$84,"&lt;="&amp;((Start!$B$13+13)))</f>
        <v>0</v>
      </c>
      <c r="D13" s="29" t="n">
        <f aca="false">SUMIF(Zahlungen!$B$7:$B$46,"Sonstige Einzahlungen",Zahlungen!$J$7:$J$46)+SUMIFS(Einzelzahlungen!$D$5:$D$84,Einzelzahlungen!$C$5:$C$84,"Sonstige Einzahlungen",Einzelzahlungen!$E$5:$E$84,"&gt;="&amp;D$5,Einzelzahlungen!$E$5:$E$84,"&lt;="&amp;((Start!$B$13+20)))</f>
        <v>0</v>
      </c>
      <c r="E13" s="29" t="n">
        <f aca="false">SUMIF(Zahlungen!$B$7:$B$46,"Sonstige Einzahlungen",Zahlungen!$K$7:$K$46)+SUMIFS(Einzelzahlungen!$D$5:$D$84,Einzelzahlungen!$C$5:$C$84,"Sonstige Einzahlungen",Einzelzahlungen!$E$5:$E$84,"&gt;="&amp;E$5,Einzelzahlungen!$E$5:$E$84,"&lt;="&amp;((Start!$B$13+27)))</f>
        <v>0</v>
      </c>
      <c r="F13" s="29" t="n">
        <f aca="false">SUMIF(Zahlungen!$B$7:$B$46,"Sonstige Einzahlungen",Zahlungen!$L$7:$L$46)+SUMIFS(Einzelzahlungen!$D$5:$D$84,Einzelzahlungen!$C$5:$C$84,"Sonstige Einzahlungen",Einzelzahlungen!$E$5:$E$84,"&gt;="&amp;F$5,Einzelzahlungen!$E$5:$E$84,"&lt;="&amp;((Start!$B$13+34)))</f>
        <v>0</v>
      </c>
      <c r="G13" s="29" t="n">
        <f aca="false">SUMIF(Zahlungen!$B$7:$B$46,"Sonstige Einzahlungen",Zahlungen!$M$7:$M$46)+SUMIFS(Einzelzahlungen!$D$5:$D$84,Einzelzahlungen!$C$5:$C$84,"Sonstige Einzahlungen",Einzelzahlungen!$E$5:$E$84,"&gt;="&amp;G$5,Einzelzahlungen!$E$5:$E$84,"&lt;="&amp;((Start!$B$13+41)))</f>
        <v>0</v>
      </c>
      <c r="H13" s="29" t="n">
        <f aca="false">SUMIF(Zahlungen!$B$7:$B$46,"Sonstige Einzahlungen",Zahlungen!$N$7:$N$46)+SUMIFS(Einzelzahlungen!$D$5:$D$84,Einzelzahlungen!$C$5:$C$84,"Sonstige Einzahlungen",Einzelzahlungen!$E$5:$E$84,"&gt;="&amp;H$5,Einzelzahlungen!$E$5:$E$84,"&lt;="&amp;((Start!$B$13+48)))</f>
        <v>0</v>
      </c>
      <c r="I13" s="29" t="n">
        <f aca="false">SUMIF(Zahlungen!$B$7:$B$46,"Sonstige Einzahlungen",Zahlungen!$O$7:$O$46)+SUMIFS(Einzelzahlungen!$D$5:$D$84,Einzelzahlungen!$C$5:$C$84,"Sonstige Einzahlungen",Einzelzahlungen!$E$5:$E$84,"&gt;="&amp;I$5,Einzelzahlungen!$E$5:$E$84,"&lt;="&amp;((Start!$B$13+55)))</f>
        <v>0</v>
      </c>
      <c r="J13" s="29" t="n">
        <f aca="false">SUMIF(Zahlungen!$B$7:$B$46,"Sonstige Einzahlungen",Zahlungen!$P$7:$P$46)+SUMIFS(Einzelzahlungen!$D$5:$D$84,Einzelzahlungen!$C$5:$C$84,"Sonstige Einzahlungen",Einzelzahlungen!$E$5:$E$84,"&gt;="&amp;J$5,Einzelzahlungen!$E$5:$E$84,"&lt;="&amp;((Start!$B$13+62)))</f>
        <v>0</v>
      </c>
      <c r="K13" s="29" t="n">
        <f aca="false">SUMIF(Zahlungen!$B$7:$B$46,"Sonstige Einzahlungen",Zahlungen!$Q$7:$Q$46)+SUMIFS(Einzelzahlungen!$D$5:$D$84,Einzelzahlungen!$C$5:$C$84,"Sonstige Einzahlungen",Einzelzahlungen!$E$5:$E$84,"&gt;="&amp;K$5,Einzelzahlungen!$E$5:$E$84,"&lt;="&amp;((Start!$B$13+69)))</f>
        <v>0</v>
      </c>
      <c r="L13" s="29" t="n">
        <f aca="false">SUMIF(Zahlungen!$B$7:$B$46,"Sonstige Einzahlungen",Zahlungen!$R$7:$R$46)+SUMIFS(Einzelzahlungen!$D$5:$D$84,Einzelzahlungen!$C$5:$C$84,"Sonstige Einzahlungen",Einzelzahlungen!$E$5:$E$84,"&gt;="&amp;L$5,Einzelzahlungen!$E$5:$E$84,"&lt;="&amp;((Start!$B$13+76)))</f>
        <v>0</v>
      </c>
      <c r="M13" s="29" t="n">
        <f aca="false">SUMIF(Zahlungen!$B$7:$B$46,"Sonstige Einzahlungen",Zahlungen!$S$7:$S$46)+SUMIFS(Einzelzahlungen!$D$5:$D$84,Einzelzahlungen!$C$5:$C$84,"Sonstige Einzahlungen",Einzelzahlungen!$E$5:$E$84,"&gt;="&amp;M$5,Einzelzahlungen!$E$5:$E$84,"&lt;="&amp;((Start!$B$13+83)))</f>
        <v>0</v>
      </c>
      <c r="N13" s="29" t="n">
        <f aca="false">SUMIF(Zahlungen!$B$7:$B$46,"Sonstige Einzahlungen",Zahlungen!$T$7:$T$46)+SUMIFS(Einzelzahlungen!$D$5:$D$84,Einzelzahlungen!$C$5:$C$84,"Sonstige Einzahlungen",Einzelzahlungen!$E$5:$E$84,"&gt;="&amp;N$5,Einzelzahlungen!$E$5:$E$84,"&lt;="&amp;((Start!$B$13+90)))</f>
        <v>0</v>
      </c>
      <c r="O13" s="30" t="n">
        <f aca="false">SUM(B13:N13)</f>
        <v>0</v>
      </c>
    </row>
    <row r="14" customFormat="false" ht="15" hidden="false" customHeight="false" outlineLevel="0" collapsed="false">
      <c r="A14" s="4" t="s">
        <v>83</v>
      </c>
      <c r="B14" s="30" t="n">
        <f aca="false">-(B9+B10)*Start!$B$12</f>
        <v>-0</v>
      </c>
      <c r="C14" s="30" t="n">
        <f aca="false">-(C9+C10)*Start!$B$12</f>
        <v>-0</v>
      </c>
      <c r="D14" s="30" t="n">
        <f aca="false">-(D9+D10)*Start!$B$12</f>
        <v>-0</v>
      </c>
      <c r="E14" s="30" t="n">
        <f aca="false">-(E9+E10)*Start!$B$12</f>
        <v>-0</v>
      </c>
      <c r="F14" s="30" t="n">
        <f aca="false">-(F9+F10)*Start!$B$12</f>
        <v>-0</v>
      </c>
      <c r="G14" s="30" t="n">
        <f aca="false">-(G9+G10)*Start!$B$12</f>
        <v>-0</v>
      </c>
      <c r="H14" s="30" t="n">
        <f aca="false">-(H9+H10)*Start!$B$12</f>
        <v>-0</v>
      </c>
      <c r="I14" s="30" t="n">
        <f aca="false">-(I9+I10)*Start!$B$12</f>
        <v>-0</v>
      </c>
      <c r="J14" s="30" t="n">
        <f aca="false">-(J9+J10)*Start!$B$12</f>
        <v>-0</v>
      </c>
      <c r="K14" s="30" t="n">
        <f aca="false">-(K9+K10)*Start!$B$12</f>
        <v>-0</v>
      </c>
      <c r="L14" s="30" t="n">
        <f aca="false">-(L9+L10)*Start!$B$12</f>
        <v>-0</v>
      </c>
      <c r="M14" s="30" t="n">
        <f aca="false">-(M9+M10)*Start!$B$12</f>
        <v>-0</v>
      </c>
      <c r="N14" s="30" t="n">
        <f aca="false">-(N9+N10)*Start!$B$12</f>
        <v>-0</v>
      </c>
      <c r="O14" s="30" t="n">
        <f aca="false">SUM(B14:N14)</f>
        <v>0</v>
      </c>
    </row>
    <row r="15" customFormat="false" ht="15" hidden="false" customHeight="false" outlineLevel="0" collapsed="false">
      <c r="A15" s="33" t="s">
        <v>84</v>
      </c>
      <c r="B15" s="34" t="n">
        <f aca="false">SUM(B8:B14)</f>
        <v>0</v>
      </c>
      <c r="C15" s="34" t="n">
        <f aca="false">SUM(C8:C14)</f>
        <v>0</v>
      </c>
      <c r="D15" s="34" t="n">
        <f aca="false">SUM(D8:D14)</f>
        <v>0</v>
      </c>
      <c r="E15" s="34" t="n">
        <f aca="false">SUM(E8:E14)</f>
        <v>0</v>
      </c>
      <c r="F15" s="34" t="n">
        <f aca="false">SUM(F8:F14)</f>
        <v>0</v>
      </c>
      <c r="G15" s="34" t="n">
        <f aca="false">SUM(G8:G14)</f>
        <v>0</v>
      </c>
      <c r="H15" s="34" t="n">
        <f aca="false">SUM(H8:H14)</f>
        <v>0</v>
      </c>
      <c r="I15" s="34" t="n">
        <f aca="false">SUM(I8:I14)</f>
        <v>0</v>
      </c>
      <c r="J15" s="34" t="n">
        <f aca="false">SUM(J8:J14)</f>
        <v>0</v>
      </c>
      <c r="K15" s="34" t="n">
        <f aca="false">SUM(K8:K14)</f>
        <v>0</v>
      </c>
      <c r="L15" s="34" t="n">
        <f aca="false">SUM(L8:L14)</f>
        <v>0</v>
      </c>
      <c r="M15" s="34" t="n">
        <f aca="false">SUM(M8:M14)</f>
        <v>0</v>
      </c>
      <c r="N15" s="34" t="n">
        <f aca="false">SUM(N8:N14)</f>
        <v>0</v>
      </c>
      <c r="O15" s="34" t="n">
        <f aca="false">SUM(B15:N15)</f>
        <v>0</v>
      </c>
    </row>
    <row r="16" customFormat="false" ht="15" hidden="false" customHeight="false" outlineLevel="0" collapsed="false">
      <c r="A16" s="31" t="s">
        <v>85</v>
      </c>
      <c r="B16" s="32"/>
      <c r="C16" s="32"/>
      <c r="D16" s="32"/>
      <c r="E16" s="32"/>
      <c r="F16" s="32"/>
      <c r="G16" s="32"/>
      <c r="H16" s="32"/>
      <c r="I16" s="32"/>
      <c r="J16" s="32"/>
      <c r="K16" s="32"/>
      <c r="L16" s="32"/>
      <c r="M16" s="32"/>
      <c r="N16" s="32"/>
      <c r="O16" s="32"/>
    </row>
    <row r="17" customFormat="false" ht="15" hidden="false" customHeight="false" outlineLevel="0" collapsed="false">
      <c r="A17" s="4" t="s">
        <v>86</v>
      </c>
      <c r="B17" s="29" t="n">
        <f aca="false">SUMIFS('Offene Posten'!$C$70:$C$129,'Offene Posten'!$G$70:$G$129,"&gt;="&amp;B$5,'Offene Posten'!$G$70:$G$129,"&lt;="&amp;((Start!$B$13+6)))+SUMIFS('Offene Posten'!$C$70:$C$129,'Offene Posten'!$G$70:$G$129,"&lt;"&amp;B$5)</f>
        <v>0</v>
      </c>
      <c r="C17" s="29" t="n">
        <f aca="false">SUMIFS('Offene Posten'!$C$70:$C$129,'Offene Posten'!$G$70:$G$129,"&gt;="&amp;C$5,'Offene Posten'!$G$70:$G$129,"&lt;="&amp;((Start!$B$13+13)))</f>
        <v>0</v>
      </c>
      <c r="D17" s="29" t="n">
        <f aca="false">SUMIFS('Offene Posten'!$C$70:$C$129,'Offene Posten'!$G$70:$G$129,"&gt;="&amp;D$5,'Offene Posten'!$G$70:$G$129,"&lt;="&amp;((Start!$B$13+20)))</f>
        <v>0</v>
      </c>
      <c r="E17" s="29" t="n">
        <f aca="false">SUMIFS('Offene Posten'!$C$70:$C$129,'Offene Posten'!$G$70:$G$129,"&gt;="&amp;E$5,'Offene Posten'!$G$70:$G$129,"&lt;="&amp;((Start!$B$13+27)))</f>
        <v>0</v>
      </c>
      <c r="F17" s="29" t="n">
        <f aca="false">SUMIFS('Offene Posten'!$C$70:$C$129,'Offene Posten'!$G$70:$G$129,"&gt;="&amp;F$5,'Offene Posten'!$G$70:$G$129,"&lt;="&amp;((Start!$B$13+34)))</f>
        <v>0</v>
      </c>
      <c r="G17" s="29" t="n">
        <f aca="false">SUMIFS('Offene Posten'!$C$70:$C$129,'Offene Posten'!$G$70:$G$129,"&gt;="&amp;G$5,'Offene Posten'!$G$70:$G$129,"&lt;="&amp;((Start!$B$13+41)))</f>
        <v>0</v>
      </c>
      <c r="H17" s="29" t="n">
        <f aca="false">SUMIFS('Offene Posten'!$C$70:$C$129,'Offene Posten'!$G$70:$G$129,"&gt;="&amp;H$5,'Offene Posten'!$G$70:$G$129,"&lt;="&amp;((Start!$B$13+48)))</f>
        <v>0</v>
      </c>
      <c r="I17" s="29" t="n">
        <f aca="false">SUMIFS('Offene Posten'!$C$70:$C$129,'Offene Posten'!$G$70:$G$129,"&gt;="&amp;I$5,'Offene Posten'!$G$70:$G$129,"&lt;="&amp;((Start!$B$13+55)))</f>
        <v>0</v>
      </c>
      <c r="J17" s="29" t="n">
        <f aca="false">SUMIFS('Offene Posten'!$C$70:$C$129,'Offene Posten'!$G$70:$G$129,"&gt;="&amp;J$5,'Offene Posten'!$G$70:$G$129,"&lt;="&amp;((Start!$B$13+62)))</f>
        <v>0</v>
      </c>
      <c r="K17" s="29" t="n">
        <f aca="false">SUMIFS('Offene Posten'!$C$70:$C$129,'Offene Posten'!$G$70:$G$129,"&gt;="&amp;K$5,'Offene Posten'!$G$70:$G$129,"&lt;="&amp;((Start!$B$13+69)))</f>
        <v>0</v>
      </c>
      <c r="L17" s="29" t="n">
        <f aca="false">SUMIFS('Offene Posten'!$C$70:$C$129,'Offene Posten'!$G$70:$G$129,"&gt;="&amp;L$5,'Offene Posten'!$G$70:$G$129,"&lt;="&amp;((Start!$B$13+76)))</f>
        <v>0</v>
      </c>
      <c r="M17" s="29" t="n">
        <f aca="false">SUMIFS('Offene Posten'!$C$70:$C$129,'Offene Posten'!$G$70:$G$129,"&gt;="&amp;M$5,'Offene Posten'!$G$70:$G$129,"&lt;="&amp;((Start!$B$13+83)))</f>
        <v>0</v>
      </c>
      <c r="N17" s="29" t="n">
        <f aca="false">SUMIFS('Offene Posten'!$C$70:$C$129,'Offene Posten'!$G$70:$G$129,"&gt;="&amp;N$5,'Offene Posten'!$G$70:$G$129,"&lt;="&amp;((Start!$B$13+90)))</f>
        <v>0</v>
      </c>
      <c r="O17" s="30" t="n">
        <f aca="false">SUM(B17:N17)</f>
        <v>0</v>
      </c>
    </row>
    <row r="18" customFormat="false" ht="15" hidden="false" customHeight="false" outlineLevel="0" collapsed="false">
      <c r="A18" s="4" t="s">
        <v>87</v>
      </c>
      <c r="B18" s="29" t="n">
        <f aca="false">SUMIF(Zahlungen!$B$7:$B$46,"Löhne und Gehälter",Zahlungen!$H$7:$H$46)+SUMIFS(Einzelzahlungen!$D$5:$D$84,Einzelzahlungen!$C$5:$C$84,"Löhne und Gehälter",Einzelzahlungen!$E$5:$E$84,"&gt;="&amp;B$5,Einzelzahlungen!$E$5:$E$84,"&lt;="&amp;((Start!$B$13+6)))</f>
        <v>0</v>
      </c>
      <c r="C18" s="29" t="n">
        <f aca="false">SUMIF(Zahlungen!$B$7:$B$46,"Löhne und Gehälter",Zahlungen!$I$7:$I$46)+SUMIFS(Einzelzahlungen!$D$5:$D$84,Einzelzahlungen!$C$5:$C$84,"Löhne und Gehälter",Einzelzahlungen!$E$5:$E$84,"&gt;="&amp;C$5,Einzelzahlungen!$E$5:$E$84,"&lt;="&amp;((Start!$B$13+13)))</f>
        <v>0</v>
      </c>
      <c r="D18" s="29" t="n">
        <f aca="false">SUMIF(Zahlungen!$B$7:$B$46,"Löhne und Gehälter",Zahlungen!$J$7:$J$46)+SUMIFS(Einzelzahlungen!$D$5:$D$84,Einzelzahlungen!$C$5:$C$84,"Löhne und Gehälter",Einzelzahlungen!$E$5:$E$84,"&gt;="&amp;D$5,Einzelzahlungen!$E$5:$E$84,"&lt;="&amp;((Start!$B$13+20)))</f>
        <v>0</v>
      </c>
      <c r="E18" s="29" t="n">
        <f aca="false">SUMIF(Zahlungen!$B$7:$B$46,"Löhne und Gehälter",Zahlungen!$K$7:$K$46)+SUMIFS(Einzelzahlungen!$D$5:$D$84,Einzelzahlungen!$C$5:$C$84,"Löhne und Gehälter",Einzelzahlungen!$E$5:$E$84,"&gt;="&amp;E$5,Einzelzahlungen!$E$5:$E$84,"&lt;="&amp;((Start!$B$13+27)))</f>
        <v>0</v>
      </c>
      <c r="F18" s="29" t="n">
        <f aca="false">SUMIF(Zahlungen!$B$7:$B$46,"Löhne und Gehälter",Zahlungen!$L$7:$L$46)+SUMIFS(Einzelzahlungen!$D$5:$D$84,Einzelzahlungen!$C$5:$C$84,"Löhne und Gehälter",Einzelzahlungen!$E$5:$E$84,"&gt;="&amp;F$5,Einzelzahlungen!$E$5:$E$84,"&lt;="&amp;((Start!$B$13+34)))</f>
        <v>0</v>
      </c>
      <c r="G18" s="29" t="n">
        <f aca="false">SUMIF(Zahlungen!$B$7:$B$46,"Löhne und Gehälter",Zahlungen!$M$7:$M$46)+SUMIFS(Einzelzahlungen!$D$5:$D$84,Einzelzahlungen!$C$5:$C$84,"Löhne und Gehälter",Einzelzahlungen!$E$5:$E$84,"&gt;="&amp;G$5,Einzelzahlungen!$E$5:$E$84,"&lt;="&amp;((Start!$B$13+41)))</f>
        <v>0</v>
      </c>
      <c r="H18" s="29" t="n">
        <f aca="false">SUMIF(Zahlungen!$B$7:$B$46,"Löhne und Gehälter",Zahlungen!$N$7:$N$46)+SUMIFS(Einzelzahlungen!$D$5:$D$84,Einzelzahlungen!$C$5:$C$84,"Löhne und Gehälter",Einzelzahlungen!$E$5:$E$84,"&gt;="&amp;H$5,Einzelzahlungen!$E$5:$E$84,"&lt;="&amp;((Start!$B$13+48)))</f>
        <v>0</v>
      </c>
      <c r="I18" s="29" t="n">
        <f aca="false">SUMIF(Zahlungen!$B$7:$B$46,"Löhne und Gehälter",Zahlungen!$O$7:$O$46)+SUMIFS(Einzelzahlungen!$D$5:$D$84,Einzelzahlungen!$C$5:$C$84,"Löhne und Gehälter",Einzelzahlungen!$E$5:$E$84,"&gt;="&amp;I$5,Einzelzahlungen!$E$5:$E$84,"&lt;="&amp;((Start!$B$13+55)))</f>
        <v>0</v>
      </c>
      <c r="J18" s="29" t="n">
        <f aca="false">SUMIF(Zahlungen!$B$7:$B$46,"Löhne und Gehälter",Zahlungen!$P$7:$P$46)+SUMIFS(Einzelzahlungen!$D$5:$D$84,Einzelzahlungen!$C$5:$C$84,"Löhne und Gehälter",Einzelzahlungen!$E$5:$E$84,"&gt;="&amp;J$5,Einzelzahlungen!$E$5:$E$84,"&lt;="&amp;((Start!$B$13+62)))</f>
        <v>0</v>
      </c>
      <c r="K18" s="29" t="n">
        <f aca="false">SUMIF(Zahlungen!$B$7:$B$46,"Löhne und Gehälter",Zahlungen!$Q$7:$Q$46)+SUMIFS(Einzelzahlungen!$D$5:$D$84,Einzelzahlungen!$C$5:$C$84,"Löhne und Gehälter",Einzelzahlungen!$E$5:$E$84,"&gt;="&amp;K$5,Einzelzahlungen!$E$5:$E$84,"&lt;="&amp;((Start!$B$13+69)))</f>
        <v>0</v>
      </c>
      <c r="L18" s="29" t="n">
        <f aca="false">SUMIF(Zahlungen!$B$7:$B$46,"Löhne und Gehälter",Zahlungen!$R$7:$R$46)+SUMIFS(Einzelzahlungen!$D$5:$D$84,Einzelzahlungen!$C$5:$C$84,"Löhne und Gehälter",Einzelzahlungen!$E$5:$E$84,"&gt;="&amp;L$5,Einzelzahlungen!$E$5:$E$84,"&lt;="&amp;((Start!$B$13+76)))</f>
        <v>0</v>
      </c>
      <c r="M18" s="29" t="n">
        <f aca="false">SUMIF(Zahlungen!$B$7:$B$46,"Löhne und Gehälter",Zahlungen!$S$7:$S$46)+SUMIFS(Einzelzahlungen!$D$5:$D$84,Einzelzahlungen!$C$5:$C$84,"Löhne und Gehälter",Einzelzahlungen!$E$5:$E$84,"&gt;="&amp;M$5,Einzelzahlungen!$E$5:$E$84,"&lt;="&amp;((Start!$B$13+83)))</f>
        <v>0</v>
      </c>
      <c r="N18" s="29" t="n">
        <f aca="false">SUMIF(Zahlungen!$B$7:$B$46,"Löhne und Gehälter",Zahlungen!$T$7:$T$46)+SUMIFS(Einzelzahlungen!$D$5:$D$84,Einzelzahlungen!$C$5:$C$84,"Löhne und Gehälter",Einzelzahlungen!$E$5:$E$84,"&gt;="&amp;N$5,Einzelzahlungen!$E$5:$E$84,"&lt;="&amp;((Start!$B$13+90)))</f>
        <v>0</v>
      </c>
      <c r="O18" s="30" t="n">
        <f aca="false">SUM(B18:N18)</f>
        <v>0</v>
      </c>
    </row>
    <row r="19" customFormat="false" ht="15" hidden="false" customHeight="false" outlineLevel="0" collapsed="false">
      <c r="A19" s="4" t="s">
        <v>88</v>
      </c>
      <c r="B19" s="29" t="n">
        <f aca="false">SUMIF(Zahlungen!$B$7:$B$46,"Sozialversicherung und Lohnsteuer",Zahlungen!$H$7:$H$46)+SUMIFS(Einzelzahlungen!$D$5:$D$84,Einzelzahlungen!$C$5:$C$84,"Sozialversicherung und Lohnsteuer",Einzelzahlungen!$E$5:$E$84,"&gt;="&amp;B$5,Einzelzahlungen!$E$5:$E$84,"&lt;="&amp;((Start!$B$13+6)))</f>
        <v>0</v>
      </c>
      <c r="C19" s="29" t="n">
        <f aca="false">SUMIF(Zahlungen!$B$7:$B$46,"Sozialversicherung und Lohnsteuer",Zahlungen!$I$7:$I$46)+SUMIFS(Einzelzahlungen!$D$5:$D$84,Einzelzahlungen!$C$5:$C$84,"Sozialversicherung und Lohnsteuer",Einzelzahlungen!$E$5:$E$84,"&gt;="&amp;C$5,Einzelzahlungen!$E$5:$E$84,"&lt;="&amp;((Start!$B$13+13)))</f>
        <v>0</v>
      </c>
      <c r="D19" s="29" t="n">
        <f aca="false">SUMIF(Zahlungen!$B$7:$B$46,"Sozialversicherung und Lohnsteuer",Zahlungen!$J$7:$J$46)+SUMIFS(Einzelzahlungen!$D$5:$D$84,Einzelzahlungen!$C$5:$C$84,"Sozialversicherung und Lohnsteuer",Einzelzahlungen!$E$5:$E$84,"&gt;="&amp;D$5,Einzelzahlungen!$E$5:$E$84,"&lt;="&amp;((Start!$B$13+20)))</f>
        <v>0</v>
      </c>
      <c r="E19" s="29" t="n">
        <f aca="false">SUMIF(Zahlungen!$B$7:$B$46,"Sozialversicherung und Lohnsteuer",Zahlungen!$K$7:$K$46)+SUMIFS(Einzelzahlungen!$D$5:$D$84,Einzelzahlungen!$C$5:$C$84,"Sozialversicherung und Lohnsteuer",Einzelzahlungen!$E$5:$E$84,"&gt;="&amp;E$5,Einzelzahlungen!$E$5:$E$84,"&lt;="&amp;((Start!$B$13+27)))</f>
        <v>0</v>
      </c>
      <c r="F19" s="29" t="n">
        <f aca="false">SUMIF(Zahlungen!$B$7:$B$46,"Sozialversicherung und Lohnsteuer",Zahlungen!$L$7:$L$46)+SUMIFS(Einzelzahlungen!$D$5:$D$84,Einzelzahlungen!$C$5:$C$84,"Sozialversicherung und Lohnsteuer",Einzelzahlungen!$E$5:$E$84,"&gt;="&amp;F$5,Einzelzahlungen!$E$5:$E$84,"&lt;="&amp;((Start!$B$13+34)))</f>
        <v>0</v>
      </c>
      <c r="G19" s="29" t="n">
        <f aca="false">SUMIF(Zahlungen!$B$7:$B$46,"Sozialversicherung und Lohnsteuer",Zahlungen!$M$7:$M$46)+SUMIFS(Einzelzahlungen!$D$5:$D$84,Einzelzahlungen!$C$5:$C$84,"Sozialversicherung und Lohnsteuer",Einzelzahlungen!$E$5:$E$84,"&gt;="&amp;G$5,Einzelzahlungen!$E$5:$E$84,"&lt;="&amp;((Start!$B$13+41)))</f>
        <v>0</v>
      </c>
      <c r="H19" s="29" t="n">
        <f aca="false">SUMIF(Zahlungen!$B$7:$B$46,"Sozialversicherung und Lohnsteuer",Zahlungen!$N$7:$N$46)+SUMIFS(Einzelzahlungen!$D$5:$D$84,Einzelzahlungen!$C$5:$C$84,"Sozialversicherung und Lohnsteuer",Einzelzahlungen!$E$5:$E$84,"&gt;="&amp;H$5,Einzelzahlungen!$E$5:$E$84,"&lt;="&amp;((Start!$B$13+48)))</f>
        <v>0</v>
      </c>
      <c r="I19" s="29" t="n">
        <f aca="false">SUMIF(Zahlungen!$B$7:$B$46,"Sozialversicherung und Lohnsteuer",Zahlungen!$O$7:$O$46)+SUMIFS(Einzelzahlungen!$D$5:$D$84,Einzelzahlungen!$C$5:$C$84,"Sozialversicherung und Lohnsteuer",Einzelzahlungen!$E$5:$E$84,"&gt;="&amp;I$5,Einzelzahlungen!$E$5:$E$84,"&lt;="&amp;((Start!$B$13+55)))</f>
        <v>0</v>
      </c>
      <c r="J19" s="29" t="n">
        <f aca="false">SUMIF(Zahlungen!$B$7:$B$46,"Sozialversicherung und Lohnsteuer",Zahlungen!$P$7:$P$46)+SUMIFS(Einzelzahlungen!$D$5:$D$84,Einzelzahlungen!$C$5:$C$84,"Sozialversicherung und Lohnsteuer",Einzelzahlungen!$E$5:$E$84,"&gt;="&amp;J$5,Einzelzahlungen!$E$5:$E$84,"&lt;="&amp;((Start!$B$13+62)))</f>
        <v>0</v>
      </c>
      <c r="K19" s="29" t="n">
        <f aca="false">SUMIF(Zahlungen!$B$7:$B$46,"Sozialversicherung und Lohnsteuer",Zahlungen!$Q$7:$Q$46)+SUMIFS(Einzelzahlungen!$D$5:$D$84,Einzelzahlungen!$C$5:$C$84,"Sozialversicherung und Lohnsteuer",Einzelzahlungen!$E$5:$E$84,"&gt;="&amp;K$5,Einzelzahlungen!$E$5:$E$84,"&lt;="&amp;((Start!$B$13+69)))</f>
        <v>0</v>
      </c>
      <c r="L19" s="29" t="n">
        <f aca="false">SUMIF(Zahlungen!$B$7:$B$46,"Sozialversicherung und Lohnsteuer",Zahlungen!$R$7:$R$46)+SUMIFS(Einzelzahlungen!$D$5:$D$84,Einzelzahlungen!$C$5:$C$84,"Sozialversicherung und Lohnsteuer",Einzelzahlungen!$E$5:$E$84,"&gt;="&amp;L$5,Einzelzahlungen!$E$5:$E$84,"&lt;="&amp;((Start!$B$13+76)))</f>
        <v>0</v>
      </c>
      <c r="M19" s="29" t="n">
        <f aca="false">SUMIF(Zahlungen!$B$7:$B$46,"Sozialversicherung und Lohnsteuer",Zahlungen!$S$7:$S$46)+SUMIFS(Einzelzahlungen!$D$5:$D$84,Einzelzahlungen!$C$5:$C$84,"Sozialversicherung und Lohnsteuer",Einzelzahlungen!$E$5:$E$84,"&gt;="&amp;M$5,Einzelzahlungen!$E$5:$E$84,"&lt;="&amp;((Start!$B$13+83)))</f>
        <v>0</v>
      </c>
      <c r="N19" s="29" t="n">
        <f aca="false">SUMIF(Zahlungen!$B$7:$B$46,"Sozialversicherung und Lohnsteuer",Zahlungen!$T$7:$T$46)+SUMIFS(Einzelzahlungen!$D$5:$D$84,Einzelzahlungen!$C$5:$C$84,"Sozialversicherung und Lohnsteuer",Einzelzahlungen!$E$5:$E$84,"&gt;="&amp;N$5,Einzelzahlungen!$E$5:$E$84,"&lt;="&amp;((Start!$B$13+90)))</f>
        <v>0</v>
      </c>
      <c r="O19" s="30" t="n">
        <f aca="false">SUM(B19:N19)</f>
        <v>0</v>
      </c>
    </row>
    <row r="20" customFormat="false" ht="15" hidden="false" customHeight="false" outlineLevel="0" collapsed="false">
      <c r="A20" s="4" t="s">
        <v>89</v>
      </c>
      <c r="B20" s="29" t="n">
        <f aca="false">SUMIF(Zahlungen!$B$7:$B$46,"Miete und Nebenkosten",Zahlungen!$H$7:$H$46)+SUMIFS(Einzelzahlungen!$D$5:$D$84,Einzelzahlungen!$C$5:$C$84,"Miete und Nebenkosten",Einzelzahlungen!$E$5:$E$84,"&gt;="&amp;B$5,Einzelzahlungen!$E$5:$E$84,"&lt;="&amp;((Start!$B$13+6)))</f>
        <v>0</v>
      </c>
      <c r="C20" s="29" t="n">
        <f aca="false">SUMIF(Zahlungen!$B$7:$B$46,"Miete und Nebenkosten",Zahlungen!$I$7:$I$46)+SUMIFS(Einzelzahlungen!$D$5:$D$84,Einzelzahlungen!$C$5:$C$84,"Miete und Nebenkosten",Einzelzahlungen!$E$5:$E$84,"&gt;="&amp;C$5,Einzelzahlungen!$E$5:$E$84,"&lt;="&amp;((Start!$B$13+13)))</f>
        <v>0</v>
      </c>
      <c r="D20" s="29" t="n">
        <f aca="false">SUMIF(Zahlungen!$B$7:$B$46,"Miete und Nebenkosten",Zahlungen!$J$7:$J$46)+SUMIFS(Einzelzahlungen!$D$5:$D$84,Einzelzahlungen!$C$5:$C$84,"Miete und Nebenkosten",Einzelzahlungen!$E$5:$E$84,"&gt;="&amp;D$5,Einzelzahlungen!$E$5:$E$84,"&lt;="&amp;((Start!$B$13+20)))</f>
        <v>0</v>
      </c>
      <c r="E20" s="29" t="n">
        <f aca="false">SUMIF(Zahlungen!$B$7:$B$46,"Miete und Nebenkosten",Zahlungen!$K$7:$K$46)+SUMIFS(Einzelzahlungen!$D$5:$D$84,Einzelzahlungen!$C$5:$C$84,"Miete und Nebenkosten",Einzelzahlungen!$E$5:$E$84,"&gt;="&amp;E$5,Einzelzahlungen!$E$5:$E$84,"&lt;="&amp;((Start!$B$13+27)))</f>
        <v>0</v>
      </c>
      <c r="F20" s="29" t="n">
        <f aca="false">SUMIF(Zahlungen!$B$7:$B$46,"Miete und Nebenkosten",Zahlungen!$L$7:$L$46)+SUMIFS(Einzelzahlungen!$D$5:$D$84,Einzelzahlungen!$C$5:$C$84,"Miete und Nebenkosten",Einzelzahlungen!$E$5:$E$84,"&gt;="&amp;F$5,Einzelzahlungen!$E$5:$E$84,"&lt;="&amp;((Start!$B$13+34)))</f>
        <v>0</v>
      </c>
      <c r="G20" s="29" t="n">
        <f aca="false">SUMIF(Zahlungen!$B$7:$B$46,"Miete und Nebenkosten",Zahlungen!$M$7:$M$46)+SUMIFS(Einzelzahlungen!$D$5:$D$84,Einzelzahlungen!$C$5:$C$84,"Miete und Nebenkosten",Einzelzahlungen!$E$5:$E$84,"&gt;="&amp;G$5,Einzelzahlungen!$E$5:$E$84,"&lt;="&amp;((Start!$B$13+41)))</f>
        <v>0</v>
      </c>
      <c r="H20" s="29" t="n">
        <f aca="false">SUMIF(Zahlungen!$B$7:$B$46,"Miete und Nebenkosten",Zahlungen!$N$7:$N$46)+SUMIFS(Einzelzahlungen!$D$5:$D$84,Einzelzahlungen!$C$5:$C$84,"Miete und Nebenkosten",Einzelzahlungen!$E$5:$E$84,"&gt;="&amp;H$5,Einzelzahlungen!$E$5:$E$84,"&lt;="&amp;((Start!$B$13+48)))</f>
        <v>0</v>
      </c>
      <c r="I20" s="29" t="n">
        <f aca="false">SUMIF(Zahlungen!$B$7:$B$46,"Miete und Nebenkosten",Zahlungen!$O$7:$O$46)+SUMIFS(Einzelzahlungen!$D$5:$D$84,Einzelzahlungen!$C$5:$C$84,"Miete und Nebenkosten",Einzelzahlungen!$E$5:$E$84,"&gt;="&amp;I$5,Einzelzahlungen!$E$5:$E$84,"&lt;="&amp;((Start!$B$13+55)))</f>
        <v>0</v>
      </c>
      <c r="J20" s="29" t="n">
        <f aca="false">SUMIF(Zahlungen!$B$7:$B$46,"Miete und Nebenkosten",Zahlungen!$P$7:$P$46)+SUMIFS(Einzelzahlungen!$D$5:$D$84,Einzelzahlungen!$C$5:$C$84,"Miete und Nebenkosten",Einzelzahlungen!$E$5:$E$84,"&gt;="&amp;J$5,Einzelzahlungen!$E$5:$E$84,"&lt;="&amp;((Start!$B$13+62)))</f>
        <v>0</v>
      </c>
      <c r="K20" s="29" t="n">
        <f aca="false">SUMIF(Zahlungen!$B$7:$B$46,"Miete und Nebenkosten",Zahlungen!$Q$7:$Q$46)+SUMIFS(Einzelzahlungen!$D$5:$D$84,Einzelzahlungen!$C$5:$C$84,"Miete und Nebenkosten",Einzelzahlungen!$E$5:$E$84,"&gt;="&amp;K$5,Einzelzahlungen!$E$5:$E$84,"&lt;="&amp;((Start!$B$13+69)))</f>
        <v>0</v>
      </c>
      <c r="L20" s="29" t="n">
        <f aca="false">SUMIF(Zahlungen!$B$7:$B$46,"Miete und Nebenkosten",Zahlungen!$R$7:$R$46)+SUMIFS(Einzelzahlungen!$D$5:$D$84,Einzelzahlungen!$C$5:$C$84,"Miete und Nebenkosten",Einzelzahlungen!$E$5:$E$84,"&gt;="&amp;L$5,Einzelzahlungen!$E$5:$E$84,"&lt;="&amp;((Start!$B$13+76)))</f>
        <v>0</v>
      </c>
      <c r="M20" s="29" t="n">
        <f aca="false">SUMIF(Zahlungen!$B$7:$B$46,"Miete und Nebenkosten",Zahlungen!$S$7:$S$46)+SUMIFS(Einzelzahlungen!$D$5:$D$84,Einzelzahlungen!$C$5:$C$84,"Miete und Nebenkosten",Einzelzahlungen!$E$5:$E$84,"&gt;="&amp;M$5,Einzelzahlungen!$E$5:$E$84,"&lt;="&amp;((Start!$B$13+83)))</f>
        <v>0</v>
      </c>
      <c r="N20" s="29" t="n">
        <f aca="false">SUMIF(Zahlungen!$B$7:$B$46,"Miete und Nebenkosten",Zahlungen!$T$7:$T$46)+SUMIFS(Einzelzahlungen!$D$5:$D$84,Einzelzahlungen!$C$5:$C$84,"Miete und Nebenkosten",Einzelzahlungen!$E$5:$E$84,"&gt;="&amp;N$5,Einzelzahlungen!$E$5:$E$84,"&lt;="&amp;((Start!$B$13+90)))</f>
        <v>0</v>
      </c>
      <c r="O20" s="30" t="n">
        <f aca="false">SUM(B20:N20)</f>
        <v>0</v>
      </c>
    </row>
    <row r="21" customFormat="false" ht="15" hidden="false" customHeight="false" outlineLevel="0" collapsed="false">
      <c r="A21" s="4" t="s">
        <v>90</v>
      </c>
      <c r="B21" s="29" t="n">
        <f aca="false">SUMIF(Zahlungen!$B$7:$B$46,"Material und Waren",Zahlungen!$H$7:$H$46)+SUMIFS(Einzelzahlungen!$D$5:$D$84,Einzelzahlungen!$C$5:$C$84,"Material und Waren",Einzelzahlungen!$E$5:$E$84,"&gt;="&amp;B$5,Einzelzahlungen!$E$5:$E$84,"&lt;="&amp;((Start!$B$13+6)))</f>
        <v>0</v>
      </c>
      <c r="C21" s="29" t="n">
        <f aca="false">SUMIF(Zahlungen!$B$7:$B$46,"Material und Waren",Zahlungen!$I$7:$I$46)+SUMIFS(Einzelzahlungen!$D$5:$D$84,Einzelzahlungen!$C$5:$C$84,"Material und Waren",Einzelzahlungen!$E$5:$E$84,"&gt;="&amp;C$5,Einzelzahlungen!$E$5:$E$84,"&lt;="&amp;((Start!$B$13+13)))</f>
        <v>0</v>
      </c>
      <c r="D21" s="29" t="n">
        <f aca="false">SUMIF(Zahlungen!$B$7:$B$46,"Material und Waren",Zahlungen!$J$7:$J$46)+SUMIFS(Einzelzahlungen!$D$5:$D$84,Einzelzahlungen!$C$5:$C$84,"Material und Waren",Einzelzahlungen!$E$5:$E$84,"&gt;="&amp;D$5,Einzelzahlungen!$E$5:$E$84,"&lt;="&amp;((Start!$B$13+20)))</f>
        <v>0</v>
      </c>
      <c r="E21" s="29" t="n">
        <f aca="false">SUMIF(Zahlungen!$B$7:$B$46,"Material und Waren",Zahlungen!$K$7:$K$46)+SUMIFS(Einzelzahlungen!$D$5:$D$84,Einzelzahlungen!$C$5:$C$84,"Material und Waren",Einzelzahlungen!$E$5:$E$84,"&gt;="&amp;E$5,Einzelzahlungen!$E$5:$E$84,"&lt;="&amp;((Start!$B$13+27)))</f>
        <v>0</v>
      </c>
      <c r="F21" s="29" t="n">
        <f aca="false">SUMIF(Zahlungen!$B$7:$B$46,"Material und Waren",Zahlungen!$L$7:$L$46)+SUMIFS(Einzelzahlungen!$D$5:$D$84,Einzelzahlungen!$C$5:$C$84,"Material und Waren",Einzelzahlungen!$E$5:$E$84,"&gt;="&amp;F$5,Einzelzahlungen!$E$5:$E$84,"&lt;="&amp;((Start!$B$13+34)))</f>
        <v>0</v>
      </c>
      <c r="G21" s="29" t="n">
        <f aca="false">SUMIF(Zahlungen!$B$7:$B$46,"Material und Waren",Zahlungen!$M$7:$M$46)+SUMIFS(Einzelzahlungen!$D$5:$D$84,Einzelzahlungen!$C$5:$C$84,"Material und Waren",Einzelzahlungen!$E$5:$E$84,"&gt;="&amp;G$5,Einzelzahlungen!$E$5:$E$84,"&lt;="&amp;((Start!$B$13+41)))</f>
        <v>0</v>
      </c>
      <c r="H21" s="29" t="n">
        <f aca="false">SUMIF(Zahlungen!$B$7:$B$46,"Material und Waren",Zahlungen!$N$7:$N$46)+SUMIFS(Einzelzahlungen!$D$5:$D$84,Einzelzahlungen!$C$5:$C$84,"Material und Waren",Einzelzahlungen!$E$5:$E$84,"&gt;="&amp;H$5,Einzelzahlungen!$E$5:$E$84,"&lt;="&amp;((Start!$B$13+48)))</f>
        <v>0</v>
      </c>
      <c r="I21" s="29" t="n">
        <f aca="false">SUMIF(Zahlungen!$B$7:$B$46,"Material und Waren",Zahlungen!$O$7:$O$46)+SUMIFS(Einzelzahlungen!$D$5:$D$84,Einzelzahlungen!$C$5:$C$84,"Material und Waren",Einzelzahlungen!$E$5:$E$84,"&gt;="&amp;I$5,Einzelzahlungen!$E$5:$E$84,"&lt;="&amp;((Start!$B$13+55)))</f>
        <v>0</v>
      </c>
      <c r="J21" s="29" t="n">
        <f aca="false">SUMIF(Zahlungen!$B$7:$B$46,"Material und Waren",Zahlungen!$P$7:$P$46)+SUMIFS(Einzelzahlungen!$D$5:$D$84,Einzelzahlungen!$C$5:$C$84,"Material und Waren",Einzelzahlungen!$E$5:$E$84,"&gt;="&amp;J$5,Einzelzahlungen!$E$5:$E$84,"&lt;="&amp;((Start!$B$13+62)))</f>
        <v>0</v>
      </c>
      <c r="K21" s="29" t="n">
        <f aca="false">SUMIF(Zahlungen!$B$7:$B$46,"Material und Waren",Zahlungen!$Q$7:$Q$46)+SUMIFS(Einzelzahlungen!$D$5:$D$84,Einzelzahlungen!$C$5:$C$84,"Material und Waren",Einzelzahlungen!$E$5:$E$84,"&gt;="&amp;K$5,Einzelzahlungen!$E$5:$E$84,"&lt;="&amp;((Start!$B$13+69)))</f>
        <v>0</v>
      </c>
      <c r="L21" s="29" t="n">
        <f aca="false">SUMIF(Zahlungen!$B$7:$B$46,"Material und Waren",Zahlungen!$R$7:$R$46)+SUMIFS(Einzelzahlungen!$D$5:$D$84,Einzelzahlungen!$C$5:$C$84,"Material und Waren",Einzelzahlungen!$E$5:$E$84,"&gt;="&amp;L$5,Einzelzahlungen!$E$5:$E$84,"&lt;="&amp;((Start!$B$13+76)))</f>
        <v>0</v>
      </c>
      <c r="M21" s="29" t="n">
        <f aca="false">SUMIF(Zahlungen!$B$7:$B$46,"Material und Waren",Zahlungen!$S$7:$S$46)+SUMIFS(Einzelzahlungen!$D$5:$D$84,Einzelzahlungen!$C$5:$C$84,"Material und Waren",Einzelzahlungen!$E$5:$E$84,"&gt;="&amp;M$5,Einzelzahlungen!$E$5:$E$84,"&lt;="&amp;((Start!$B$13+83)))</f>
        <v>0</v>
      </c>
      <c r="N21" s="29" t="n">
        <f aca="false">SUMIF(Zahlungen!$B$7:$B$46,"Material und Waren",Zahlungen!$T$7:$T$46)+SUMIFS(Einzelzahlungen!$D$5:$D$84,Einzelzahlungen!$C$5:$C$84,"Material und Waren",Einzelzahlungen!$E$5:$E$84,"&gt;="&amp;N$5,Einzelzahlungen!$E$5:$E$84,"&lt;="&amp;((Start!$B$13+90)))</f>
        <v>0</v>
      </c>
      <c r="O21" s="30" t="n">
        <f aca="false">SUM(B21:N21)</f>
        <v>0</v>
      </c>
    </row>
    <row r="22" customFormat="false" ht="15" hidden="false" customHeight="false" outlineLevel="0" collapsed="false">
      <c r="A22" s="4" t="s">
        <v>91</v>
      </c>
      <c r="B22" s="29" t="n">
        <f aca="false">SUMIF(Zahlungen!$B$7:$B$46,"Fahrzeuge und Leasing",Zahlungen!$H$7:$H$46)+SUMIFS(Einzelzahlungen!$D$5:$D$84,Einzelzahlungen!$C$5:$C$84,"Fahrzeuge und Leasing",Einzelzahlungen!$E$5:$E$84,"&gt;="&amp;B$5,Einzelzahlungen!$E$5:$E$84,"&lt;="&amp;((Start!$B$13+6)))</f>
        <v>0</v>
      </c>
      <c r="C22" s="29" t="n">
        <f aca="false">SUMIF(Zahlungen!$B$7:$B$46,"Fahrzeuge und Leasing",Zahlungen!$I$7:$I$46)+SUMIFS(Einzelzahlungen!$D$5:$D$84,Einzelzahlungen!$C$5:$C$84,"Fahrzeuge und Leasing",Einzelzahlungen!$E$5:$E$84,"&gt;="&amp;C$5,Einzelzahlungen!$E$5:$E$84,"&lt;="&amp;((Start!$B$13+13)))</f>
        <v>0</v>
      </c>
      <c r="D22" s="29" t="n">
        <f aca="false">SUMIF(Zahlungen!$B$7:$B$46,"Fahrzeuge und Leasing",Zahlungen!$J$7:$J$46)+SUMIFS(Einzelzahlungen!$D$5:$D$84,Einzelzahlungen!$C$5:$C$84,"Fahrzeuge und Leasing",Einzelzahlungen!$E$5:$E$84,"&gt;="&amp;D$5,Einzelzahlungen!$E$5:$E$84,"&lt;="&amp;((Start!$B$13+20)))</f>
        <v>0</v>
      </c>
      <c r="E22" s="29" t="n">
        <f aca="false">SUMIF(Zahlungen!$B$7:$B$46,"Fahrzeuge und Leasing",Zahlungen!$K$7:$K$46)+SUMIFS(Einzelzahlungen!$D$5:$D$84,Einzelzahlungen!$C$5:$C$84,"Fahrzeuge und Leasing",Einzelzahlungen!$E$5:$E$84,"&gt;="&amp;E$5,Einzelzahlungen!$E$5:$E$84,"&lt;="&amp;((Start!$B$13+27)))</f>
        <v>0</v>
      </c>
      <c r="F22" s="29" t="n">
        <f aca="false">SUMIF(Zahlungen!$B$7:$B$46,"Fahrzeuge und Leasing",Zahlungen!$L$7:$L$46)+SUMIFS(Einzelzahlungen!$D$5:$D$84,Einzelzahlungen!$C$5:$C$84,"Fahrzeuge und Leasing",Einzelzahlungen!$E$5:$E$84,"&gt;="&amp;F$5,Einzelzahlungen!$E$5:$E$84,"&lt;="&amp;((Start!$B$13+34)))</f>
        <v>0</v>
      </c>
      <c r="G22" s="29" t="n">
        <f aca="false">SUMIF(Zahlungen!$B$7:$B$46,"Fahrzeuge und Leasing",Zahlungen!$M$7:$M$46)+SUMIFS(Einzelzahlungen!$D$5:$D$84,Einzelzahlungen!$C$5:$C$84,"Fahrzeuge und Leasing",Einzelzahlungen!$E$5:$E$84,"&gt;="&amp;G$5,Einzelzahlungen!$E$5:$E$84,"&lt;="&amp;((Start!$B$13+41)))</f>
        <v>0</v>
      </c>
      <c r="H22" s="29" t="n">
        <f aca="false">SUMIF(Zahlungen!$B$7:$B$46,"Fahrzeuge und Leasing",Zahlungen!$N$7:$N$46)+SUMIFS(Einzelzahlungen!$D$5:$D$84,Einzelzahlungen!$C$5:$C$84,"Fahrzeuge und Leasing",Einzelzahlungen!$E$5:$E$84,"&gt;="&amp;H$5,Einzelzahlungen!$E$5:$E$84,"&lt;="&amp;((Start!$B$13+48)))</f>
        <v>0</v>
      </c>
      <c r="I22" s="29" t="n">
        <f aca="false">SUMIF(Zahlungen!$B$7:$B$46,"Fahrzeuge und Leasing",Zahlungen!$O$7:$O$46)+SUMIFS(Einzelzahlungen!$D$5:$D$84,Einzelzahlungen!$C$5:$C$84,"Fahrzeuge und Leasing",Einzelzahlungen!$E$5:$E$84,"&gt;="&amp;I$5,Einzelzahlungen!$E$5:$E$84,"&lt;="&amp;((Start!$B$13+55)))</f>
        <v>0</v>
      </c>
      <c r="J22" s="29" t="n">
        <f aca="false">SUMIF(Zahlungen!$B$7:$B$46,"Fahrzeuge und Leasing",Zahlungen!$P$7:$P$46)+SUMIFS(Einzelzahlungen!$D$5:$D$84,Einzelzahlungen!$C$5:$C$84,"Fahrzeuge und Leasing",Einzelzahlungen!$E$5:$E$84,"&gt;="&amp;J$5,Einzelzahlungen!$E$5:$E$84,"&lt;="&amp;((Start!$B$13+62)))</f>
        <v>0</v>
      </c>
      <c r="K22" s="29" t="n">
        <f aca="false">SUMIF(Zahlungen!$B$7:$B$46,"Fahrzeuge und Leasing",Zahlungen!$Q$7:$Q$46)+SUMIFS(Einzelzahlungen!$D$5:$D$84,Einzelzahlungen!$C$5:$C$84,"Fahrzeuge und Leasing",Einzelzahlungen!$E$5:$E$84,"&gt;="&amp;K$5,Einzelzahlungen!$E$5:$E$84,"&lt;="&amp;((Start!$B$13+69)))</f>
        <v>0</v>
      </c>
      <c r="L22" s="29" t="n">
        <f aca="false">SUMIF(Zahlungen!$B$7:$B$46,"Fahrzeuge und Leasing",Zahlungen!$R$7:$R$46)+SUMIFS(Einzelzahlungen!$D$5:$D$84,Einzelzahlungen!$C$5:$C$84,"Fahrzeuge und Leasing",Einzelzahlungen!$E$5:$E$84,"&gt;="&amp;L$5,Einzelzahlungen!$E$5:$E$84,"&lt;="&amp;((Start!$B$13+76)))</f>
        <v>0</v>
      </c>
      <c r="M22" s="29" t="n">
        <f aca="false">SUMIF(Zahlungen!$B$7:$B$46,"Fahrzeuge und Leasing",Zahlungen!$S$7:$S$46)+SUMIFS(Einzelzahlungen!$D$5:$D$84,Einzelzahlungen!$C$5:$C$84,"Fahrzeuge und Leasing",Einzelzahlungen!$E$5:$E$84,"&gt;="&amp;M$5,Einzelzahlungen!$E$5:$E$84,"&lt;="&amp;((Start!$B$13+83)))</f>
        <v>0</v>
      </c>
      <c r="N22" s="29" t="n">
        <f aca="false">SUMIF(Zahlungen!$B$7:$B$46,"Fahrzeuge und Leasing",Zahlungen!$T$7:$T$46)+SUMIFS(Einzelzahlungen!$D$5:$D$84,Einzelzahlungen!$C$5:$C$84,"Fahrzeuge und Leasing",Einzelzahlungen!$E$5:$E$84,"&gt;="&amp;N$5,Einzelzahlungen!$E$5:$E$84,"&lt;="&amp;((Start!$B$13+90)))</f>
        <v>0</v>
      </c>
      <c r="O22" s="30" t="n">
        <f aca="false">SUM(B22:N22)</f>
        <v>0</v>
      </c>
    </row>
    <row r="23" customFormat="false" ht="15" hidden="false" customHeight="false" outlineLevel="0" collapsed="false">
      <c r="A23" s="4" t="s">
        <v>92</v>
      </c>
      <c r="B23" s="29" t="n">
        <f aca="false">SUMIF(Zahlungen!$B$7:$B$46,"Versicherungen und Beiträge",Zahlungen!$H$7:$H$46)+SUMIFS(Einzelzahlungen!$D$5:$D$84,Einzelzahlungen!$C$5:$C$84,"Versicherungen und Beiträge",Einzelzahlungen!$E$5:$E$84,"&gt;="&amp;B$5,Einzelzahlungen!$E$5:$E$84,"&lt;="&amp;((Start!$B$13+6)))</f>
        <v>0</v>
      </c>
      <c r="C23" s="29" t="n">
        <f aca="false">SUMIF(Zahlungen!$B$7:$B$46,"Versicherungen und Beiträge",Zahlungen!$I$7:$I$46)+SUMIFS(Einzelzahlungen!$D$5:$D$84,Einzelzahlungen!$C$5:$C$84,"Versicherungen und Beiträge",Einzelzahlungen!$E$5:$E$84,"&gt;="&amp;C$5,Einzelzahlungen!$E$5:$E$84,"&lt;="&amp;((Start!$B$13+13)))</f>
        <v>0</v>
      </c>
      <c r="D23" s="29" t="n">
        <f aca="false">SUMIF(Zahlungen!$B$7:$B$46,"Versicherungen und Beiträge",Zahlungen!$J$7:$J$46)+SUMIFS(Einzelzahlungen!$D$5:$D$84,Einzelzahlungen!$C$5:$C$84,"Versicherungen und Beiträge",Einzelzahlungen!$E$5:$E$84,"&gt;="&amp;D$5,Einzelzahlungen!$E$5:$E$84,"&lt;="&amp;((Start!$B$13+20)))</f>
        <v>0</v>
      </c>
      <c r="E23" s="29" t="n">
        <f aca="false">SUMIF(Zahlungen!$B$7:$B$46,"Versicherungen und Beiträge",Zahlungen!$K$7:$K$46)+SUMIFS(Einzelzahlungen!$D$5:$D$84,Einzelzahlungen!$C$5:$C$84,"Versicherungen und Beiträge",Einzelzahlungen!$E$5:$E$84,"&gt;="&amp;E$5,Einzelzahlungen!$E$5:$E$84,"&lt;="&amp;((Start!$B$13+27)))</f>
        <v>0</v>
      </c>
      <c r="F23" s="29" t="n">
        <f aca="false">SUMIF(Zahlungen!$B$7:$B$46,"Versicherungen und Beiträge",Zahlungen!$L$7:$L$46)+SUMIFS(Einzelzahlungen!$D$5:$D$84,Einzelzahlungen!$C$5:$C$84,"Versicherungen und Beiträge",Einzelzahlungen!$E$5:$E$84,"&gt;="&amp;F$5,Einzelzahlungen!$E$5:$E$84,"&lt;="&amp;((Start!$B$13+34)))</f>
        <v>0</v>
      </c>
      <c r="G23" s="29" t="n">
        <f aca="false">SUMIF(Zahlungen!$B$7:$B$46,"Versicherungen und Beiträge",Zahlungen!$M$7:$M$46)+SUMIFS(Einzelzahlungen!$D$5:$D$84,Einzelzahlungen!$C$5:$C$84,"Versicherungen und Beiträge",Einzelzahlungen!$E$5:$E$84,"&gt;="&amp;G$5,Einzelzahlungen!$E$5:$E$84,"&lt;="&amp;((Start!$B$13+41)))</f>
        <v>0</v>
      </c>
      <c r="H23" s="29" t="n">
        <f aca="false">SUMIF(Zahlungen!$B$7:$B$46,"Versicherungen und Beiträge",Zahlungen!$N$7:$N$46)+SUMIFS(Einzelzahlungen!$D$5:$D$84,Einzelzahlungen!$C$5:$C$84,"Versicherungen und Beiträge",Einzelzahlungen!$E$5:$E$84,"&gt;="&amp;H$5,Einzelzahlungen!$E$5:$E$84,"&lt;="&amp;((Start!$B$13+48)))</f>
        <v>0</v>
      </c>
      <c r="I23" s="29" t="n">
        <f aca="false">SUMIF(Zahlungen!$B$7:$B$46,"Versicherungen und Beiträge",Zahlungen!$O$7:$O$46)+SUMIFS(Einzelzahlungen!$D$5:$D$84,Einzelzahlungen!$C$5:$C$84,"Versicherungen und Beiträge",Einzelzahlungen!$E$5:$E$84,"&gt;="&amp;I$5,Einzelzahlungen!$E$5:$E$84,"&lt;="&amp;((Start!$B$13+55)))</f>
        <v>0</v>
      </c>
      <c r="J23" s="29" t="n">
        <f aca="false">SUMIF(Zahlungen!$B$7:$B$46,"Versicherungen und Beiträge",Zahlungen!$P$7:$P$46)+SUMIFS(Einzelzahlungen!$D$5:$D$84,Einzelzahlungen!$C$5:$C$84,"Versicherungen und Beiträge",Einzelzahlungen!$E$5:$E$84,"&gt;="&amp;J$5,Einzelzahlungen!$E$5:$E$84,"&lt;="&amp;((Start!$B$13+62)))</f>
        <v>0</v>
      </c>
      <c r="K23" s="29" t="n">
        <f aca="false">SUMIF(Zahlungen!$B$7:$B$46,"Versicherungen und Beiträge",Zahlungen!$Q$7:$Q$46)+SUMIFS(Einzelzahlungen!$D$5:$D$84,Einzelzahlungen!$C$5:$C$84,"Versicherungen und Beiträge",Einzelzahlungen!$E$5:$E$84,"&gt;="&amp;K$5,Einzelzahlungen!$E$5:$E$84,"&lt;="&amp;((Start!$B$13+69)))</f>
        <v>0</v>
      </c>
      <c r="L23" s="29" t="n">
        <f aca="false">SUMIF(Zahlungen!$B$7:$B$46,"Versicherungen und Beiträge",Zahlungen!$R$7:$R$46)+SUMIFS(Einzelzahlungen!$D$5:$D$84,Einzelzahlungen!$C$5:$C$84,"Versicherungen und Beiträge",Einzelzahlungen!$E$5:$E$84,"&gt;="&amp;L$5,Einzelzahlungen!$E$5:$E$84,"&lt;="&amp;((Start!$B$13+76)))</f>
        <v>0</v>
      </c>
      <c r="M23" s="29" t="n">
        <f aca="false">SUMIF(Zahlungen!$B$7:$B$46,"Versicherungen und Beiträge",Zahlungen!$S$7:$S$46)+SUMIFS(Einzelzahlungen!$D$5:$D$84,Einzelzahlungen!$C$5:$C$84,"Versicherungen und Beiträge",Einzelzahlungen!$E$5:$E$84,"&gt;="&amp;M$5,Einzelzahlungen!$E$5:$E$84,"&lt;="&amp;((Start!$B$13+83)))</f>
        <v>0</v>
      </c>
      <c r="N23" s="29" t="n">
        <f aca="false">SUMIF(Zahlungen!$B$7:$B$46,"Versicherungen und Beiträge",Zahlungen!$T$7:$T$46)+SUMIFS(Einzelzahlungen!$D$5:$D$84,Einzelzahlungen!$C$5:$C$84,"Versicherungen und Beiträge",Einzelzahlungen!$E$5:$E$84,"&gt;="&amp;N$5,Einzelzahlungen!$E$5:$E$84,"&lt;="&amp;((Start!$B$13+90)))</f>
        <v>0</v>
      </c>
      <c r="O23" s="30" t="n">
        <f aca="false">SUM(B23:N23)</f>
        <v>0</v>
      </c>
    </row>
    <row r="24" customFormat="false" ht="15" hidden="false" customHeight="false" outlineLevel="0" collapsed="false">
      <c r="A24" s="4" t="s">
        <v>93</v>
      </c>
      <c r="B24" s="29" t="n">
        <f aca="false">SUMIF(Zahlungen!$B$7:$B$46,"Büro, Software, Telefon",Zahlungen!$H$7:$H$46)+SUMIFS(Einzelzahlungen!$D$5:$D$84,Einzelzahlungen!$C$5:$C$84,"Büro, Software, Telefon",Einzelzahlungen!$E$5:$E$84,"&gt;="&amp;B$5,Einzelzahlungen!$E$5:$E$84,"&lt;="&amp;((Start!$B$13+6)))</f>
        <v>0</v>
      </c>
      <c r="C24" s="29" t="n">
        <f aca="false">SUMIF(Zahlungen!$B$7:$B$46,"Büro, Software, Telefon",Zahlungen!$I$7:$I$46)+SUMIFS(Einzelzahlungen!$D$5:$D$84,Einzelzahlungen!$C$5:$C$84,"Büro, Software, Telefon",Einzelzahlungen!$E$5:$E$84,"&gt;="&amp;C$5,Einzelzahlungen!$E$5:$E$84,"&lt;="&amp;((Start!$B$13+13)))</f>
        <v>0</v>
      </c>
      <c r="D24" s="29" t="n">
        <f aca="false">SUMIF(Zahlungen!$B$7:$B$46,"Büro, Software, Telefon",Zahlungen!$J$7:$J$46)+SUMIFS(Einzelzahlungen!$D$5:$D$84,Einzelzahlungen!$C$5:$C$84,"Büro, Software, Telefon",Einzelzahlungen!$E$5:$E$84,"&gt;="&amp;D$5,Einzelzahlungen!$E$5:$E$84,"&lt;="&amp;((Start!$B$13+20)))</f>
        <v>0</v>
      </c>
      <c r="E24" s="29" t="n">
        <f aca="false">SUMIF(Zahlungen!$B$7:$B$46,"Büro, Software, Telefon",Zahlungen!$K$7:$K$46)+SUMIFS(Einzelzahlungen!$D$5:$D$84,Einzelzahlungen!$C$5:$C$84,"Büro, Software, Telefon",Einzelzahlungen!$E$5:$E$84,"&gt;="&amp;E$5,Einzelzahlungen!$E$5:$E$84,"&lt;="&amp;((Start!$B$13+27)))</f>
        <v>0</v>
      </c>
      <c r="F24" s="29" t="n">
        <f aca="false">SUMIF(Zahlungen!$B$7:$B$46,"Büro, Software, Telefon",Zahlungen!$L$7:$L$46)+SUMIFS(Einzelzahlungen!$D$5:$D$84,Einzelzahlungen!$C$5:$C$84,"Büro, Software, Telefon",Einzelzahlungen!$E$5:$E$84,"&gt;="&amp;F$5,Einzelzahlungen!$E$5:$E$84,"&lt;="&amp;((Start!$B$13+34)))</f>
        <v>0</v>
      </c>
      <c r="G24" s="29" t="n">
        <f aca="false">SUMIF(Zahlungen!$B$7:$B$46,"Büro, Software, Telefon",Zahlungen!$M$7:$M$46)+SUMIFS(Einzelzahlungen!$D$5:$D$84,Einzelzahlungen!$C$5:$C$84,"Büro, Software, Telefon",Einzelzahlungen!$E$5:$E$84,"&gt;="&amp;G$5,Einzelzahlungen!$E$5:$E$84,"&lt;="&amp;((Start!$B$13+41)))</f>
        <v>0</v>
      </c>
      <c r="H24" s="29" t="n">
        <f aca="false">SUMIF(Zahlungen!$B$7:$B$46,"Büro, Software, Telefon",Zahlungen!$N$7:$N$46)+SUMIFS(Einzelzahlungen!$D$5:$D$84,Einzelzahlungen!$C$5:$C$84,"Büro, Software, Telefon",Einzelzahlungen!$E$5:$E$84,"&gt;="&amp;H$5,Einzelzahlungen!$E$5:$E$84,"&lt;="&amp;((Start!$B$13+48)))</f>
        <v>0</v>
      </c>
      <c r="I24" s="29" t="n">
        <f aca="false">SUMIF(Zahlungen!$B$7:$B$46,"Büro, Software, Telefon",Zahlungen!$O$7:$O$46)+SUMIFS(Einzelzahlungen!$D$5:$D$84,Einzelzahlungen!$C$5:$C$84,"Büro, Software, Telefon",Einzelzahlungen!$E$5:$E$84,"&gt;="&amp;I$5,Einzelzahlungen!$E$5:$E$84,"&lt;="&amp;((Start!$B$13+55)))</f>
        <v>0</v>
      </c>
      <c r="J24" s="29" t="n">
        <f aca="false">SUMIF(Zahlungen!$B$7:$B$46,"Büro, Software, Telefon",Zahlungen!$P$7:$P$46)+SUMIFS(Einzelzahlungen!$D$5:$D$84,Einzelzahlungen!$C$5:$C$84,"Büro, Software, Telefon",Einzelzahlungen!$E$5:$E$84,"&gt;="&amp;J$5,Einzelzahlungen!$E$5:$E$84,"&lt;="&amp;((Start!$B$13+62)))</f>
        <v>0</v>
      </c>
      <c r="K24" s="29" t="n">
        <f aca="false">SUMIF(Zahlungen!$B$7:$B$46,"Büro, Software, Telefon",Zahlungen!$Q$7:$Q$46)+SUMIFS(Einzelzahlungen!$D$5:$D$84,Einzelzahlungen!$C$5:$C$84,"Büro, Software, Telefon",Einzelzahlungen!$E$5:$E$84,"&gt;="&amp;K$5,Einzelzahlungen!$E$5:$E$84,"&lt;="&amp;((Start!$B$13+69)))</f>
        <v>0</v>
      </c>
      <c r="L24" s="29" t="n">
        <f aca="false">SUMIF(Zahlungen!$B$7:$B$46,"Büro, Software, Telefon",Zahlungen!$R$7:$R$46)+SUMIFS(Einzelzahlungen!$D$5:$D$84,Einzelzahlungen!$C$5:$C$84,"Büro, Software, Telefon",Einzelzahlungen!$E$5:$E$84,"&gt;="&amp;L$5,Einzelzahlungen!$E$5:$E$84,"&lt;="&amp;((Start!$B$13+76)))</f>
        <v>0</v>
      </c>
      <c r="M24" s="29" t="n">
        <f aca="false">SUMIF(Zahlungen!$B$7:$B$46,"Büro, Software, Telefon",Zahlungen!$S$7:$S$46)+SUMIFS(Einzelzahlungen!$D$5:$D$84,Einzelzahlungen!$C$5:$C$84,"Büro, Software, Telefon",Einzelzahlungen!$E$5:$E$84,"&gt;="&amp;M$5,Einzelzahlungen!$E$5:$E$84,"&lt;="&amp;((Start!$B$13+83)))</f>
        <v>0</v>
      </c>
      <c r="N24" s="29" t="n">
        <f aca="false">SUMIF(Zahlungen!$B$7:$B$46,"Büro, Software, Telefon",Zahlungen!$T$7:$T$46)+SUMIFS(Einzelzahlungen!$D$5:$D$84,Einzelzahlungen!$C$5:$C$84,"Büro, Software, Telefon",Einzelzahlungen!$E$5:$E$84,"&gt;="&amp;N$5,Einzelzahlungen!$E$5:$E$84,"&lt;="&amp;((Start!$B$13+90)))</f>
        <v>0</v>
      </c>
      <c r="O24" s="30" t="n">
        <f aca="false">SUM(B24:N24)</f>
        <v>0</v>
      </c>
    </row>
    <row r="25" customFormat="false" ht="15" hidden="false" customHeight="false" outlineLevel="0" collapsed="false">
      <c r="A25" s="4" t="s">
        <v>94</v>
      </c>
      <c r="B25" s="29" t="n">
        <f aca="false">SUMIF(Zahlungen!$B$7:$B$46,"Steuerbüro und Beratung",Zahlungen!$H$7:$H$46)+SUMIFS(Einzelzahlungen!$D$5:$D$84,Einzelzahlungen!$C$5:$C$84,"Steuerbüro und Beratung",Einzelzahlungen!$E$5:$E$84,"&gt;="&amp;B$5,Einzelzahlungen!$E$5:$E$84,"&lt;="&amp;((Start!$B$13+6)))</f>
        <v>0</v>
      </c>
      <c r="C25" s="29" t="n">
        <f aca="false">SUMIF(Zahlungen!$B$7:$B$46,"Steuerbüro und Beratung",Zahlungen!$I$7:$I$46)+SUMIFS(Einzelzahlungen!$D$5:$D$84,Einzelzahlungen!$C$5:$C$84,"Steuerbüro und Beratung",Einzelzahlungen!$E$5:$E$84,"&gt;="&amp;C$5,Einzelzahlungen!$E$5:$E$84,"&lt;="&amp;((Start!$B$13+13)))</f>
        <v>0</v>
      </c>
      <c r="D25" s="29" t="n">
        <f aca="false">SUMIF(Zahlungen!$B$7:$B$46,"Steuerbüro und Beratung",Zahlungen!$J$7:$J$46)+SUMIFS(Einzelzahlungen!$D$5:$D$84,Einzelzahlungen!$C$5:$C$84,"Steuerbüro und Beratung",Einzelzahlungen!$E$5:$E$84,"&gt;="&amp;D$5,Einzelzahlungen!$E$5:$E$84,"&lt;="&amp;((Start!$B$13+20)))</f>
        <v>0</v>
      </c>
      <c r="E25" s="29" t="n">
        <f aca="false">SUMIF(Zahlungen!$B$7:$B$46,"Steuerbüro und Beratung",Zahlungen!$K$7:$K$46)+SUMIFS(Einzelzahlungen!$D$5:$D$84,Einzelzahlungen!$C$5:$C$84,"Steuerbüro und Beratung",Einzelzahlungen!$E$5:$E$84,"&gt;="&amp;E$5,Einzelzahlungen!$E$5:$E$84,"&lt;="&amp;((Start!$B$13+27)))</f>
        <v>0</v>
      </c>
      <c r="F25" s="29" t="n">
        <f aca="false">SUMIF(Zahlungen!$B$7:$B$46,"Steuerbüro und Beratung",Zahlungen!$L$7:$L$46)+SUMIFS(Einzelzahlungen!$D$5:$D$84,Einzelzahlungen!$C$5:$C$84,"Steuerbüro und Beratung",Einzelzahlungen!$E$5:$E$84,"&gt;="&amp;F$5,Einzelzahlungen!$E$5:$E$84,"&lt;="&amp;((Start!$B$13+34)))</f>
        <v>0</v>
      </c>
      <c r="G25" s="29" t="n">
        <f aca="false">SUMIF(Zahlungen!$B$7:$B$46,"Steuerbüro und Beratung",Zahlungen!$M$7:$M$46)+SUMIFS(Einzelzahlungen!$D$5:$D$84,Einzelzahlungen!$C$5:$C$84,"Steuerbüro und Beratung",Einzelzahlungen!$E$5:$E$84,"&gt;="&amp;G$5,Einzelzahlungen!$E$5:$E$84,"&lt;="&amp;((Start!$B$13+41)))</f>
        <v>0</v>
      </c>
      <c r="H25" s="29" t="n">
        <f aca="false">SUMIF(Zahlungen!$B$7:$B$46,"Steuerbüro und Beratung",Zahlungen!$N$7:$N$46)+SUMIFS(Einzelzahlungen!$D$5:$D$84,Einzelzahlungen!$C$5:$C$84,"Steuerbüro und Beratung",Einzelzahlungen!$E$5:$E$84,"&gt;="&amp;H$5,Einzelzahlungen!$E$5:$E$84,"&lt;="&amp;((Start!$B$13+48)))</f>
        <v>0</v>
      </c>
      <c r="I25" s="29" t="n">
        <f aca="false">SUMIF(Zahlungen!$B$7:$B$46,"Steuerbüro und Beratung",Zahlungen!$O$7:$O$46)+SUMIFS(Einzelzahlungen!$D$5:$D$84,Einzelzahlungen!$C$5:$C$84,"Steuerbüro und Beratung",Einzelzahlungen!$E$5:$E$84,"&gt;="&amp;I$5,Einzelzahlungen!$E$5:$E$84,"&lt;="&amp;((Start!$B$13+55)))</f>
        <v>0</v>
      </c>
      <c r="J25" s="29" t="n">
        <f aca="false">SUMIF(Zahlungen!$B$7:$B$46,"Steuerbüro und Beratung",Zahlungen!$P$7:$P$46)+SUMIFS(Einzelzahlungen!$D$5:$D$84,Einzelzahlungen!$C$5:$C$84,"Steuerbüro und Beratung",Einzelzahlungen!$E$5:$E$84,"&gt;="&amp;J$5,Einzelzahlungen!$E$5:$E$84,"&lt;="&amp;((Start!$B$13+62)))</f>
        <v>0</v>
      </c>
      <c r="K25" s="29" t="n">
        <f aca="false">SUMIF(Zahlungen!$B$7:$B$46,"Steuerbüro und Beratung",Zahlungen!$Q$7:$Q$46)+SUMIFS(Einzelzahlungen!$D$5:$D$84,Einzelzahlungen!$C$5:$C$84,"Steuerbüro und Beratung",Einzelzahlungen!$E$5:$E$84,"&gt;="&amp;K$5,Einzelzahlungen!$E$5:$E$84,"&lt;="&amp;((Start!$B$13+69)))</f>
        <v>0</v>
      </c>
      <c r="L25" s="29" t="n">
        <f aca="false">SUMIF(Zahlungen!$B$7:$B$46,"Steuerbüro und Beratung",Zahlungen!$R$7:$R$46)+SUMIFS(Einzelzahlungen!$D$5:$D$84,Einzelzahlungen!$C$5:$C$84,"Steuerbüro und Beratung",Einzelzahlungen!$E$5:$E$84,"&gt;="&amp;L$5,Einzelzahlungen!$E$5:$E$84,"&lt;="&amp;((Start!$B$13+76)))</f>
        <v>0</v>
      </c>
      <c r="M25" s="29" t="n">
        <f aca="false">SUMIF(Zahlungen!$B$7:$B$46,"Steuerbüro und Beratung",Zahlungen!$S$7:$S$46)+SUMIFS(Einzelzahlungen!$D$5:$D$84,Einzelzahlungen!$C$5:$C$84,"Steuerbüro und Beratung",Einzelzahlungen!$E$5:$E$84,"&gt;="&amp;M$5,Einzelzahlungen!$E$5:$E$84,"&lt;="&amp;((Start!$B$13+83)))</f>
        <v>0</v>
      </c>
      <c r="N25" s="29" t="n">
        <f aca="false">SUMIF(Zahlungen!$B$7:$B$46,"Steuerbüro und Beratung",Zahlungen!$T$7:$T$46)+SUMIFS(Einzelzahlungen!$D$5:$D$84,Einzelzahlungen!$C$5:$C$84,"Steuerbüro und Beratung",Einzelzahlungen!$E$5:$E$84,"&gt;="&amp;N$5,Einzelzahlungen!$E$5:$E$84,"&lt;="&amp;((Start!$B$13+90)))</f>
        <v>0</v>
      </c>
      <c r="O25" s="30" t="n">
        <f aca="false">SUM(B25:N25)</f>
        <v>0</v>
      </c>
    </row>
    <row r="26" customFormat="false" ht="15" hidden="false" customHeight="false" outlineLevel="0" collapsed="false">
      <c r="A26" s="4" t="s">
        <v>95</v>
      </c>
      <c r="B26" s="29" t="n">
        <f aca="false">SUMIF(Zahlungen!$B$7:$B$46,"Kreditraten (Zins und Tilgung)",Zahlungen!$H$7:$H$46)+SUMIFS(Einzelzahlungen!$D$5:$D$84,Einzelzahlungen!$C$5:$C$84,"Kreditraten (Zins und Tilgung)",Einzelzahlungen!$E$5:$E$84,"&gt;="&amp;B$5,Einzelzahlungen!$E$5:$E$84,"&lt;="&amp;((Start!$B$13+6)))</f>
        <v>0</v>
      </c>
      <c r="C26" s="29" t="n">
        <f aca="false">SUMIF(Zahlungen!$B$7:$B$46,"Kreditraten (Zins und Tilgung)",Zahlungen!$I$7:$I$46)+SUMIFS(Einzelzahlungen!$D$5:$D$84,Einzelzahlungen!$C$5:$C$84,"Kreditraten (Zins und Tilgung)",Einzelzahlungen!$E$5:$E$84,"&gt;="&amp;C$5,Einzelzahlungen!$E$5:$E$84,"&lt;="&amp;((Start!$B$13+13)))</f>
        <v>0</v>
      </c>
      <c r="D26" s="29" t="n">
        <f aca="false">SUMIF(Zahlungen!$B$7:$B$46,"Kreditraten (Zins und Tilgung)",Zahlungen!$J$7:$J$46)+SUMIFS(Einzelzahlungen!$D$5:$D$84,Einzelzahlungen!$C$5:$C$84,"Kreditraten (Zins und Tilgung)",Einzelzahlungen!$E$5:$E$84,"&gt;="&amp;D$5,Einzelzahlungen!$E$5:$E$84,"&lt;="&amp;((Start!$B$13+20)))</f>
        <v>0</v>
      </c>
      <c r="E26" s="29" t="n">
        <f aca="false">SUMIF(Zahlungen!$B$7:$B$46,"Kreditraten (Zins und Tilgung)",Zahlungen!$K$7:$K$46)+SUMIFS(Einzelzahlungen!$D$5:$D$84,Einzelzahlungen!$C$5:$C$84,"Kreditraten (Zins und Tilgung)",Einzelzahlungen!$E$5:$E$84,"&gt;="&amp;E$5,Einzelzahlungen!$E$5:$E$84,"&lt;="&amp;((Start!$B$13+27)))</f>
        <v>0</v>
      </c>
      <c r="F26" s="29" t="n">
        <f aca="false">SUMIF(Zahlungen!$B$7:$B$46,"Kreditraten (Zins und Tilgung)",Zahlungen!$L$7:$L$46)+SUMIFS(Einzelzahlungen!$D$5:$D$84,Einzelzahlungen!$C$5:$C$84,"Kreditraten (Zins und Tilgung)",Einzelzahlungen!$E$5:$E$84,"&gt;="&amp;F$5,Einzelzahlungen!$E$5:$E$84,"&lt;="&amp;((Start!$B$13+34)))</f>
        <v>0</v>
      </c>
      <c r="G26" s="29" t="n">
        <f aca="false">SUMIF(Zahlungen!$B$7:$B$46,"Kreditraten (Zins und Tilgung)",Zahlungen!$M$7:$M$46)+SUMIFS(Einzelzahlungen!$D$5:$D$84,Einzelzahlungen!$C$5:$C$84,"Kreditraten (Zins und Tilgung)",Einzelzahlungen!$E$5:$E$84,"&gt;="&amp;G$5,Einzelzahlungen!$E$5:$E$84,"&lt;="&amp;((Start!$B$13+41)))</f>
        <v>0</v>
      </c>
      <c r="H26" s="29" t="n">
        <f aca="false">SUMIF(Zahlungen!$B$7:$B$46,"Kreditraten (Zins und Tilgung)",Zahlungen!$N$7:$N$46)+SUMIFS(Einzelzahlungen!$D$5:$D$84,Einzelzahlungen!$C$5:$C$84,"Kreditraten (Zins und Tilgung)",Einzelzahlungen!$E$5:$E$84,"&gt;="&amp;H$5,Einzelzahlungen!$E$5:$E$84,"&lt;="&amp;((Start!$B$13+48)))</f>
        <v>0</v>
      </c>
      <c r="I26" s="29" t="n">
        <f aca="false">SUMIF(Zahlungen!$B$7:$B$46,"Kreditraten (Zins und Tilgung)",Zahlungen!$O$7:$O$46)+SUMIFS(Einzelzahlungen!$D$5:$D$84,Einzelzahlungen!$C$5:$C$84,"Kreditraten (Zins und Tilgung)",Einzelzahlungen!$E$5:$E$84,"&gt;="&amp;I$5,Einzelzahlungen!$E$5:$E$84,"&lt;="&amp;((Start!$B$13+55)))</f>
        <v>0</v>
      </c>
      <c r="J26" s="29" t="n">
        <f aca="false">SUMIF(Zahlungen!$B$7:$B$46,"Kreditraten (Zins und Tilgung)",Zahlungen!$P$7:$P$46)+SUMIFS(Einzelzahlungen!$D$5:$D$84,Einzelzahlungen!$C$5:$C$84,"Kreditraten (Zins und Tilgung)",Einzelzahlungen!$E$5:$E$84,"&gt;="&amp;J$5,Einzelzahlungen!$E$5:$E$84,"&lt;="&amp;((Start!$B$13+62)))</f>
        <v>0</v>
      </c>
      <c r="K26" s="29" t="n">
        <f aca="false">SUMIF(Zahlungen!$B$7:$B$46,"Kreditraten (Zins und Tilgung)",Zahlungen!$Q$7:$Q$46)+SUMIFS(Einzelzahlungen!$D$5:$D$84,Einzelzahlungen!$C$5:$C$84,"Kreditraten (Zins und Tilgung)",Einzelzahlungen!$E$5:$E$84,"&gt;="&amp;K$5,Einzelzahlungen!$E$5:$E$84,"&lt;="&amp;((Start!$B$13+69)))</f>
        <v>0</v>
      </c>
      <c r="L26" s="29" t="n">
        <f aca="false">SUMIF(Zahlungen!$B$7:$B$46,"Kreditraten (Zins und Tilgung)",Zahlungen!$R$7:$R$46)+SUMIFS(Einzelzahlungen!$D$5:$D$84,Einzelzahlungen!$C$5:$C$84,"Kreditraten (Zins und Tilgung)",Einzelzahlungen!$E$5:$E$84,"&gt;="&amp;L$5,Einzelzahlungen!$E$5:$E$84,"&lt;="&amp;((Start!$B$13+76)))</f>
        <v>0</v>
      </c>
      <c r="M26" s="29" t="n">
        <f aca="false">SUMIF(Zahlungen!$B$7:$B$46,"Kreditraten (Zins und Tilgung)",Zahlungen!$S$7:$S$46)+SUMIFS(Einzelzahlungen!$D$5:$D$84,Einzelzahlungen!$C$5:$C$84,"Kreditraten (Zins und Tilgung)",Einzelzahlungen!$E$5:$E$84,"&gt;="&amp;M$5,Einzelzahlungen!$E$5:$E$84,"&lt;="&amp;((Start!$B$13+83)))</f>
        <v>0</v>
      </c>
      <c r="N26" s="29" t="n">
        <f aca="false">SUMIF(Zahlungen!$B$7:$B$46,"Kreditraten (Zins und Tilgung)",Zahlungen!$T$7:$T$46)+SUMIFS(Einzelzahlungen!$D$5:$D$84,Einzelzahlungen!$C$5:$C$84,"Kreditraten (Zins und Tilgung)",Einzelzahlungen!$E$5:$E$84,"&gt;="&amp;N$5,Einzelzahlungen!$E$5:$E$84,"&lt;="&amp;((Start!$B$13+90)))</f>
        <v>0</v>
      </c>
      <c r="O26" s="30" t="n">
        <f aca="false">SUM(B26:N26)</f>
        <v>0</v>
      </c>
    </row>
    <row r="27" customFormat="false" ht="15" hidden="false" customHeight="false" outlineLevel="0" collapsed="false">
      <c r="A27" s="4" t="s">
        <v>96</v>
      </c>
      <c r="B27" s="29" t="n">
        <f aca="false">SUMIF(Zahlungen!$B$7:$B$46,"Investitionen und Anschaffungen",Zahlungen!$H$7:$H$46)+SUMIFS(Einzelzahlungen!$D$5:$D$84,Einzelzahlungen!$C$5:$C$84,"Investitionen und Anschaffungen",Einzelzahlungen!$E$5:$E$84,"&gt;="&amp;B$5,Einzelzahlungen!$E$5:$E$84,"&lt;="&amp;((Start!$B$13+6)))</f>
        <v>0</v>
      </c>
      <c r="C27" s="29" t="n">
        <f aca="false">SUMIF(Zahlungen!$B$7:$B$46,"Investitionen und Anschaffungen",Zahlungen!$I$7:$I$46)+SUMIFS(Einzelzahlungen!$D$5:$D$84,Einzelzahlungen!$C$5:$C$84,"Investitionen und Anschaffungen",Einzelzahlungen!$E$5:$E$84,"&gt;="&amp;C$5,Einzelzahlungen!$E$5:$E$84,"&lt;="&amp;((Start!$B$13+13)))</f>
        <v>0</v>
      </c>
      <c r="D27" s="29" t="n">
        <f aca="false">SUMIF(Zahlungen!$B$7:$B$46,"Investitionen und Anschaffungen",Zahlungen!$J$7:$J$46)+SUMIFS(Einzelzahlungen!$D$5:$D$84,Einzelzahlungen!$C$5:$C$84,"Investitionen und Anschaffungen",Einzelzahlungen!$E$5:$E$84,"&gt;="&amp;D$5,Einzelzahlungen!$E$5:$E$84,"&lt;="&amp;((Start!$B$13+20)))</f>
        <v>0</v>
      </c>
      <c r="E27" s="29" t="n">
        <f aca="false">SUMIF(Zahlungen!$B$7:$B$46,"Investitionen und Anschaffungen",Zahlungen!$K$7:$K$46)+SUMIFS(Einzelzahlungen!$D$5:$D$84,Einzelzahlungen!$C$5:$C$84,"Investitionen und Anschaffungen",Einzelzahlungen!$E$5:$E$84,"&gt;="&amp;E$5,Einzelzahlungen!$E$5:$E$84,"&lt;="&amp;((Start!$B$13+27)))</f>
        <v>0</v>
      </c>
      <c r="F27" s="29" t="n">
        <f aca="false">SUMIF(Zahlungen!$B$7:$B$46,"Investitionen und Anschaffungen",Zahlungen!$L$7:$L$46)+SUMIFS(Einzelzahlungen!$D$5:$D$84,Einzelzahlungen!$C$5:$C$84,"Investitionen und Anschaffungen",Einzelzahlungen!$E$5:$E$84,"&gt;="&amp;F$5,Einzelzahlungen!$E$5:$E$84,"&lt;="&amp;((Start!$B$13+34)))</f>
        <v>0</v>
      </c>
      <c r="G27" s="29" t="n">
        <f aca="false">SUMIF(Zahlungen!$B$7:$B$46,"Investitionen und Anschaffungen",Zahlungen!$M$7:$M$46)+SUMIFS(Einzelzahlungen!$D$5:$D$84,Einzelzahlungen!$C$5:$C$84,"Investitionen und Anschaffungen",Einzelzahlungen!$E$5:$E$84,"&gt;="&amp;G$5,Einzelzahlungen!$E$5:$E$84,"&lt;="&amp;((Start!$B$13+41)))</f>
        <v>0</v>
      </c>
      <c r="H27" s="29" t="n">
        <f aca="false">SUMIF(Zahlungen!$B$7:$B$46,"Investitionen und Anschaffungen",Zahlungen!$N$7:$N$46)+SUMIFS(Einzelzahlungen!$D$5:$D$84,Einzelzahlungen!$C$5:$C$84,"Investitionen und Anschaffungen",Einzelzahlungen!$E$5:$E$84,"&gt;="&amp;H$5,Einzelzahlungen!$E$5:$E$84,"&lt;="&amp;((Start!$B$13+48)))</f>
        <v>0</v>
      </c>
      <c r="I27" s="29" t="n">
        <f aca="false">SUMIF(Zahlungen!$B$7:$B$46,"Investitionen und Anschaffungen",Zahlungen!$O$7:$O$46)+SUMIFS(Einzelzahlungen!$D$5:$D$84,Einzelzahlungen!$C$5:$C$84,"Investitionen und Anschaffungen",Einzelzahlungen!$E$5:$E$84,"&gt;="&amp;I$5,Einzelzahlungen!$E$5:$E$84,"&lt;="&amp;((Start!$B$13+55)))</f>
        <v>0</v>
      </c>
      <c r="J27" s="29" t="n">
        <f aca="false">SUMIF(Zahlungen!$B$7:$B$46,"Investitionen und Anschaffungen",Zahlungen!$P$7:$P$46)+SUMIFS(Einzelzahlungen!$D$5:$D$84,Einzelzahlungen!$C$5:$C$84,"Investitionen und Anschaffungen",Einzelzahlungen!$E$5:$E$84,"&gt;="&amp;J$5,Einzelzahlungen!$E$5:$E$84,"&lt;="&amp;((Start!$B$13+62)))</f>
        <v>0</v>
      </c>
      <c r="K27" s="29" t="n">
        <f aca="false">SUMIF(Zahlungen!$B$7:$B$46,"Investitionen und Anschaffungen",Zahlungen!$Q$7:$Q$46)+SUMIFS(Einzelzahlungen!$D$5:$D$84,Einzelzahlungen!$C$5:$C$84,"Investitionen und Anschaffungen",Einzelzahlungen!$E$5:$E$84,"&gt;="&amp;K$5,Einzelzahlungen!$E$5:$E$84,"&lt;="&amp;((Start!$B$13+69)))</f>
        <v>0</v>
      </c>
      <c r="L27" s="29" t="n">
        <f aca="false">SUMIF(Zahlungen!$B$7:$B$46,"Investitionen und Anschaffungen",Zahlungen!$R$7:$R$46)+SUMIFS(Einzelzahlungen!$D$5:$D$84,Einzelzahlungen!$C$5:$C$84,"Investitionen und Anschaffungen",Einzelzahlungen!$E$5:$E$84,"&gt;="&amp;L$5,Einzelzahlungen!$E$5:$E$84,"&lt;="&amp;((Start!$B$13+76)))</f>
        <v>0</v>
      </c>
      <c r="M27" s="29" t="n">
        <f aca="false">SUMIF(Zahlungen!$B$7:$B$46,"Investitionen und Anschaffungen",Zahlungen!$S$7:$S$46)+SUMIFS(Einzelzahlungen!$D$5:$D$84,Einzelzahlungen!$C$5:$C$84,"Investitionen und Anschaffungen",Einzelzahlungen!$E$5:$E$84,"&gt;="&amp;M$5,Einzelzahlungen!$E$5:$E$84,"&lt;="&amp;((Start!$B$13+83)))</f>
        <v>0</v>
      </c>
      <c r="N27" s="29" t="n">
        <f aca="false">SUMIF(Zahlungen!$B$7:$B$46,"Investitionen und Anschaffungen",Zahlungen!$T$7:$T$46)+SUMIFS(Einzelzahlungen!$D$5:$D$84,Einzelzahlungen!$C$5:$C$84,"Investitionen und Anschaffungen",Einzelzahlungen!$E$5:$E$84,"&gt;="&amp;N$5,Einzelzahlungen!$E$5:$E$84,"&lt;="&amp;((Start!$B$13+90)))</f>
        <v>0</v>
      </c>
      <c r="O27" s="30" t="n">
        <f aca="false">SUM(B27:N27)</f>
        <v>0</v>
      </c>
    </row>
    <row r="28" customFormat="false" ht="15" hidden="false" customHeight="false" outlineLevel="0" collapsed="false">
      <c r="A28" s="4" t="s">
        <v>97</v>
      </c>
      <c r="B28" s="29" t="n">
        <f aca="false">SUMIF(Zahlungen!$B$7:$B$46,"Umsatzsteuer",Zahlungen!$H$7:$H$46)+SUMIFS(Einzelzahlungen!$D$5:$D$84,Einzelzahlungen!$C$5:$C$84,"Umsatzsteuer",Einzelzahlungen!$E$5:$E$84,"&gt;="&amp;B$5,Einzelzahlungen!$E$5:$E$84,"&lt;="&amp;((Start!$B$13+6)))</f>
        <v>0</v>
      </c>
      <c r="C28" s="29" t="n">
        <f aca="false">SUMIF(Zahlungen!$B$7:$B$46,"Umsatzsteuer",Zahlungen!$I$7:$I$46)+SUMIFS(Einzelzahlungen!$D$5:$D$84,Einzelzahlungen!$C$5:$C$84,"Umsatzsteuer",Einzelzahlungen!$E$5:$E$84,"&gt;="&amp;C$5,Einzelzahlungen!$E$5:$E$84,"&lt;="&amp;((Start!$B$13+13)))</f>
        <v>0</v>
      </c>
      <c r="D28" s="29" t="n">
        <f aca="false">SUMIF(Zahlungen!$B$7:$B$46,"Umsatzsteuer",Zahlungen!$J$7:$J$46)+SUMIFS(Einzelzahlungen!$D$5:$D$84,Einzelzahlungen!$C$5:$C$84,"Umsatzsteuer",Einzelzahlungen!$E$5:$E$84,"&gt;="&amp;D$5,Einzelzahlungen!$E$5:$E$84,"&lt;="&amp;((Start!$B$13+20)))</f>
        <v>0</v>
      </c>
      <c r="E28" s="29" t="n">
        <f aca="false">SUMIF(Zahlungen!$B$7:$B$46,"Umsatzsteuer",Zahlungen!$K$7:$K$46)+SUMIFS(Einzelzahlungen!$D$5:$D$84,Einzelzahlungen!$C$5:$C$84,"Umsatzsteuer",Einzelzahlungen!$E$5:$E$84,"&gt;="&amp;E$5,Einzelzahlungen!$E$5:$E$84,"&lt;="&amp;((Start!$B$13+27)))</f>
        <v>0</v>
      </c>
      <c r="F28" s="29" t="n">
        <f aca="false">SUMIF(Zahlungen!$B$7:$B$46,"Umsatzsteuer",Zahlungen!$L$7:$L$46)+SUMIFS(Einzelzahlungen!$D$5:$D$84,Einzelzahlungen!$C$5:$C$84,"Umsatzsteuer",Einzelzahlungen!$E$5:$E$84,"&gt;="&amp;F$5,Einzelzahlungen!$E$5:$E$84,"&lt;="&amp;((Start!$B$13+34)))</f>
        <v>0</v>
      </c>
      <c r="G28" s="29" t="n">
        <f aca="false">SUMIF(Zahlungen!$B$7:$B$46,"Umsatzsteuer",Zahlungen!$M$7:$M$46)+SUMIFS(Einzelzahlungen!$D$5:$D$84,Einzelzahlungen!$C$5:$C$84,"Umsatzsteuer",Einzelzahlungen!$E$5:$E$84,"&gt;="&amp;G$5,Einzelzahlungen!$E$5:$E$84,"&lt;="&amp;((Start!$B$13+41)))</f>
        <v>0</v>
      </c>
      <c r="H28" s="29" t="n">
        <f aca="false">SUMIF(Zahlungen!$B$7:$B$46,"Umsatzsteuer",Zahlungen!$N$7:$N$46)+SUMIFS(Einzelzahlungen!$D$5:$D$84,Einzelzahlungen!$C$5:$C$84,"Umsatzsteuer",Einzelzahlungen!$E$5:$E$84,"&gt;="&amp;H$5,Einzelzahlungen!$E$5:$E$84,"&lt;="&amp;((Start!$B$13+48)))</f>
        <v>0</v>
      </c>
      <c r="I28" s="29" t="n">
        <f aca="false">SUMIF(Zahlungen!$B$7:$B$46,"Umsatzsteuer",Zahlungen!$O$7:$O$46)+SUMIFS(Einzelzahlungen!$D$5:$D$84,Einzelzahlungen!$C$5:$C$84,"Umsatzsteuer",Einzelzahlungen!$E$5:$E$84,"&gt;="&amp;I$5,Einzelzahlungen!$E$5:$E$84,"&lt;="&amp;((Start!$B$13+55)))</f>
        <v>0</v>
      </c>
      <c r="J28" s="29" t="n">
        <f aca="false">SUMIF(Zahlungen!$B$7:$B$46,"Umsatzsteuer",Zahlungen!$P$7:$P$46)+SUMIFS(Einzelzahlungen!$D$5:$D$84,Einzelzahlungen!$C$5:$C$84,"Umsatzsteuer",Einzelzahlungen!$E$5:$E$84,"&gt;="&amp;J$5,Einzelzahlungen!$E$5:$E$84,"&lt;="&amp;((Start!$B$13+62)))</f>
        <v>0</v>
      </c>
      <c r="K28" s="29" t="n">
        <f aca="false">SUMIF(Zahlungen!$B$7:$B$46,"Umsatzsteuer",Zahlungen!$Q$7:$Q$46)+SUMIFS(Einzelzahlungen!$D$5:$D$84,Einzelzahlungen!$C$5:$C$84,"Umsatzsteuer",Einzelzahlungen!$E$5:$E$84,"&gt;="&amp;K$5,Einzelzahlungen!$E$5:$E$84,"&lt;="&amp;((Start!$B$13+69)))</f>
        <v>0</v>
      </c>
      <c r="L28" s="29" t="n">
        <f aca="false">SUMIF(Zahlungen!$B$7:$B$46,"Umsatzsteuer",Zahlungen!$R$7:$R$46)+SUMIFS(Einzelzahlungen!$D$5:$D$84,Einzelzahlungen!$C$5:$C$84,"Umsatzsteuer",Einzelzahlungen!$E$5:$E$84,"&gt;="&amp;L$5,Einzelzahlungen!$E$5:$E$84,"&lt;="&amp;((Start!$B$13+76)))</f>
        <v>0</v>
      </c>
      <c r="M28" s="29" t="n">
        <f aca="false">SUMIF(Zahlungen!$B$7:$B$46,"Umsatzsteuer",Zahlungen!$S$7:$S$46)+SUMIFS(Einzelzahlungen!$D$5:$D$84,Einzelzahlungen!$C$5:$C$84,"Umsatzsteuer",Einzelzahlungen!$E$5:$E$84,"&gt;="&amp;M$5,Einzelzahlungen!$E$5:$E$84,"&lt;="&amp;((Start!$B$13+83)))</f>
        <v>0</v>
      </c>
      <c r="N28" s="29" t="n">
        <f aca="false">SUMIF(Zahlungen!$B$7:$B$46,"Umsatzsteuer",Zahlungen!$T$7:$T$46)+SUMIFS(Einzelzahlungen!$D$5:$D$84,Einzelzahlungen!$C$5:$C$84,"Umsatzsteuer",Einzelzahlungen!$E$5:$E$84,"&gt;="&amp;N$5,Einzelzahlungen!$E$5:$E$84,"&lt;="&amp;((Start!$B$13+90)))</f>
        <v>0</v>
      </c>
      <c r="O28" s="30" t="n">
        <f aca="false">SUM(B28:N28)</f>
        <v>0</v>
      </c>
    </row>
    <row r="29" customFormat="false" ht="15" hidden="false" customHeight="false" outlineLevel="0" collapsed="false">
      <c r="A29" s="4" t="s">
        <v>98</v>
      </c>
      <c r="B29" s="29" t="n">
        <f aca="false">SUMIF(Zahlungen!$B$7:$B$46,"Steuervorauszahlungen",Zahlungen!$H$7:$H$46)+SUMIFS(Einzelzahlungen!$D$5:$D$84,Einzelzahlungen!$C$5:$C$84,"Steuervorauszahlungen",Einzelzahlungen!$E$5:$E$84,"&gt;="&amp;B$5,Einzelzahlungen!$E$5:$E$84,"&lt;="&amp;((Start!$B$13+6)))</f>
        <v>0</v>
      </c>
      <c r="C29" s="29" t="n">
        <f aca="false">SUMIF(Zahlungen!$B$7:$B$46,"Steuervorauszahlungen",Zahlungen!$I$7:$I$46)+SUMIFS(Einzelzahlungen!$D$5:$D$84,Einzelzahlungen!$C$5:$C$84,"Steuervorauszahlungen",Einzelzahlungen!$E$5:$E$84,"&gt;="&amp;C$5,Einzelzahlungen!$E$5:$E$84,"&lt;="&amp;((Start!$B$13+13)))</f>
        <v>0</v>
      </c>
      <c r="D29" s="29" t="n">
        <f aca="false">SUMIF(Zahlungen!$B$7:$B$46,"Steuervorauszahlungen",Zahlungen!$J$7:$J$46)+SUMIFS(Einzelzahlungen!$D$5:$D$84,Einzelzahlungen!$C$5:$C$84,"Steuervorauszahlungen",Einzelzahlungen!$E$5:$E$84,"&gt;="&amp;D$5,Einzelzahlungen!$E$5:$E$84,"&lt;="&amp;((Start!$B$13+20)))</f>
        <v>0</v>
      </c>
      <c r="E29" s="29" t="n">
        <f aca="false">SUMIF(Zahlungen!$B$7:$B$46,"Steuervorauszahlungen",Zahlungen!$K$7:$K$46)+SUMIFS(Einzelzahlungen!$D$5:$D$84,Einzelzahlungen!$C$5:$C$84,"Steuervorauszahlungen",Einzelzahlungen!$E$5:$E$84,"&gt;="&amp;E$5,Einzelzahlungen!$E$5:$E$84,"&lt;="&amp;((Start!$B$13+27)))</f>
        <v>0</v>
      </c>
      <c r="F29" s="29" t="n">
        <f aca="false">SUMIF(Zahlungen!$B$7:$B$46,"Steuervorauszahlungen",Zahlungen!$L$7:$L$46)+SUMIFS(Einzelzahlungen!$D$5:$D$84,Einzelzahlungen!$C$5:$C$84,"Steuervorauszahlungen",Einzelzahlungen!$E$5:$E$84,"&gt;="&amp;F$5,Einzelzahlungen!$E$5:$E$84,"&lt;="&amp;((Start!$B$13+34)))</f>
        <v>0</v>
      </c>
      <c r="G29" s="29" t="n">
        <f aca="false">SUMIF(Zahlungen!$B$7:$B$46,"Steuervorauszahlungen",Zahlungen!$M$7:$M$46)+SUMIFS(Einzelzahlungen!$D$5:$D$84,Einzelzahlungen!$C$5:$C$84,"Steuervorauszahlungen",Einzelzahlungen!$E$5:$E$84,"&gt;="&amp;G$5,Einzelzahlungen!$E$5:$E$84,"&lt;="&amp;((Start!$B$13+41)))</f>
        <v>0</v>
      </c>
      <c r="H29" s="29" t="n">
        <f aca="false">SUMIF(Zahlungen!$B$7:$B$46,"Steuervorauszahlungen",Zahlungen!$N$7:$N$46)+SUMIFS(Einzelzahlungen!$D$5:$D$84,Einzelzahlungen!$C$5:$C$84,"Steuervorauszahlungen",Einzelzahlungen!$E$5:$E$84,"&gt;="&amp;H$5,Einzelzahlungen!$E$5:$E$84,"&lt;="&amp;((Start!$B$13+48)))</f>
        <v>0</v>
      </c>
      <c r="I29" s="29" t="n">
        <f aca="false">SUMIF(Zahlungen!$B$7:$B$46,"Steuervorauszahlungen",Zahlungen!$O$7:$O$46)+SUMIFS(Einzelzahlungen!$D$5:$D$84,Einzelzahlungen!$C$5:$C$84,"Steuervorauszahlungen",Einzelzahlungen!$E$5:$E$84,"&gt;="&amp;I$5,Einzelzahlungen!$E$5:$E$84,"&lt;="&amp;((Start!$B$13+55)))</f>
        <v>0</v>
      </c>
      <c r="J29" s="29" t="n">
        <f aca="false">SUMIF(Zahlungen!$B$7:$B$46,"Steuervorauszahlungen",Zahlungen!$P$7:$P$46)+SUMIFS(Einzelzahlungen!$D$5:$D$84,Einzelzahlungen!$C$5:$C$84,"Steuervorauszahlungen",Einzelzahlungen!$E$5:$E$84,"&gt;="&amp;J$5,Einzelzahlungen!$E$5:$E$84,"&lt;="&amp;((Start!$B$13+62)))</f>
        <v>0</v>
      </c>
      <c r="K29" s="29" t="n">
        <f aca="false">SUMIF(Zahlungen!$B$7:$B$46,"Steuervorauszahlungen",Zahlungen!$Q$7:$Q$46)+SUMIFS(Einzelzahlungen!$D$5:$D$84,Einzelzahlungen!$C$5:$C$84,"Steuervorauszahlungen",Einzelzahlungen!$E$5:$E$84,"&gt;="&amp;K$5,Einzelzahlungen!$E$5:$E$84,"&lt;="&amp;((Start!$B$13+69)))</f>
        <v>0</v>
      </c>
      <c r="L29" s="29" t="n">
        <f aca="false">SUMIF(Zahlungen!$B$7:$B$46,"Steuervorauszahlungen",Zahlungen!$R$7:$R$46)+SUMIFS(Einzelzahlungen!$D$5:$D$84,Einzelzahlungen!$C$5:$C$84,"Steuervorauszahlungen",Einzelzahlungen!$E$5:$E$84,"&gt;="&amp;L$5,Einzelzahlungen!$E$5:$E$84,"&lt;="&amp;((Start!$B$13+76)))</f>
        <v>0</v>
      </c>
      <c r="M29" s="29" t="n">
        <f aca="false">SUMIF(Zahlungen!$B$7:$B$46,"Steuervorauszahlungen",Zahlungen!$S$7:$S$46)+SUMIFS(Einzelzahlungen!$D$5:$D$84,Einzelzahlungen!$C$5:$C$84,"Steuervorauszahlungen",Einzelzahlungen!$E$5:$E$84,"&gt;="&amp;M$5,Einzelzahlungen!$E$5:$E$84,"&lt;="&amp;((Start!$B$13+83)))</f>
        <v>0</v>
      </c>
      <c r="N29" s="29" t="n">
        <f aca="false">SUMIF(Zahlungen!$B$7:$B$46,"Steuervorauszahlungen",Zahlungen!$T$7:$T$46)+SUMIFS(Einzelzahlungen!$D$5:$D$84,Einzelzahlungen!$C$5:$C$84,"Steuervorauszahlungen",Einzelzahlungen!$E$5:$E$84,"&gt;="&amp;N$5,Einzelzahlungen!$E$5:$E$84,"&lt;="&amp;((Start!$B$13+90)))</f>
        <v>0</v>
      </c>
      <c r="O29" s="30" t="n">
        <f aca="false">SUM(B29:N29)</f>
        <v>0</v>
      </c>
    </row>
    <row r="30" customFormat="false" ht="15" hidden="false" customHeight="false" outlineLevel="0" collapsed="false">
      <c r="A30" s="4" t="s">
        <v>99</v>
      </c>
      <c r="B30" s="29" t="n">
        <f aca="false">SUMIF(Zahlungen!$B$7:$B$46,"Steuernachzahlungen",Zahlungen!$H$7:$H$46)+SUMIFS(Einzelzahlungen!$D$5:$D$84,Einzelzahlungen!$C$5:$C$84,"Steuernachzahlungen",Einzelzahlungen!$E$5:$E$84,"&gt;="&amp;B$5,Einzelzahlungen!$E$5:$E$84,"&lt;="&amp;((Start!$B$13+6)))</f>
        <v>0</v>
      </c>
      <c r="C30" s="29" t="n">
        <f aca="false">SUMIF(Zahlungen!$B$7:$B$46,"Steuernachzahlungen",Zahlungen!$I$7:$I$46)+SUMIFS(Einzelzahlungen!$D$5:$D$84,Einzelzahlungen!$C$5:$C$84,"Steuernachzahlungen",Einzelzahlungen!$E$5:$E$84,"&gt;="&amp;C$5,Einzelzahlungen!$E$5:$E$84,"&lt;="&amp;((Start!$B$13+13)))</f>
        <v>0</v>
      </c>
      <c r="D30" s="29" t="n">
        <f aca="false">SUMIF(Zahlungen!$B$7:$B$46,"Steuernachzahlungen",Zahlungen!$J$7:$J$46)+SUMIFS(Einzelzahlungen!$D$5:$D$84,Einzelzahlungen!$C$5:$C$84,"Steuernachzahlungen",Einzelzahlungen!$E$5:$E$84,"&gt;="&amp;D$5,Einzelzahlungen!$E$5:$E$84,"&lt;="&amp;((Start!$B$13+20)))</f>
        <v>0</v>
      </c>
      <c r="E30" s="29" t="n">
        <f aca="false">SUMIF(Zahlungen!$B$7:$B$46,"Steuernachzahlungen",Zahlungen!$K$7:$K$46)+SUMIFS(Einzelzahlungen!$D$5:$D$84,Einzelzahlungen!$C$5:$C$84,"Steuernachzahlungen",Einzelzahlungen!$E$5:$E$84,"&gt;="&amp;E$5,Einzelzahlungen!$E$5:$E$84,"&lt;="&amp;((Start!$B$13+27)))</f>
        <v>0</v>
      </c>
      <c r="F30" s="29" t="n">
        <f aca="false">SUMIF(Zahlungen!$B$7:$B$46,"Steuernachzahlungen",Zahlungen!$L$7:$L$46)+SUMIFS(Einzelzahlungen!$D$5:$D$84,Einzelzahlungen!$C$5:$C$84,"Steuernachzahlungen",Einzelzahlungen!$E$5:$E$84,"&gt;="&amp;F$5,Einzelzahlungen!$E$5:$E$84,"&lt;="&amp;((Start!$B$13+34)))</f>
        <v>0</v>
      </c>
      <c r="G30" s="29" t="n">
        <f aca="false">SUMIF(Zahlungen!$B$7:$B$46,"Steuernachzahlungen",Zahlungen!$M$7:$M$46)+SUMIFS(Einzelzahlungen!$D$5:$D$84,Einzelzahlungen!$C$5:$C$84,"Steuernachzahlungen",Einzelzahlungen!$E$5:$E$84,"&gt;="&amp;G$5,Einzelzahlungen!$E$5:$E$84,"&lt;="&amp;((Start!$B$13+41)))</f>
        <v>0</v>
      </c>
      <c r="H30" s="29" t="n">
        <f aca="false">SUMIF(Zahlungen!$B$7:$B$46,"Steuernachzahlungen",Zahlungen!$N$7:$N$46)+SUMIFS(Einzelzahlungen!$D$5:$D$84,Einzelzahlungen!$C$5:$C$84,"Steuernachzahlungen",Einzelzahlungen!$E$5:$E$84,"&gt;="&amp;H$5,Einzelzahlungen!$E$5:$E$84,"&lt;="&amp;((Start!$B$13+48)))</f>
        <v>0</v>
      </c>
      <c r="I30" s="29" t="n">
        <f aca="false">SUMIF(Zahlungen!$B$7:$B$46,"Steuernachzahlungen",Zahlungen!$O$7:$O$46)+SUMIFS(Einzelzahlungen!$D$5:$D$84,Einzelzahlungen!$C$5:$C$84,"Steuernachzahlungen",Einzelzahlungen!$E$5:$E$84,"&gt;="&amp;I$5,Einzelzahlungen!$E$5:$E$84,"&lt;="&amp;((Start!$B$13+55)))</f>
        <v>0</v>
      </c>
      <c r="J30" s="29" t="n">
        <f aca="false">SUMIF(Zahlungen!$B$7:$B$46,"Steuernachzahlungen",Zahlungen!$P$7:$P$46)+SUMIFS(Einzelzahlungen!$D$5:$D$84,Einzelzahlungen!$C$5:$C$84,"Steuernachzahlungen",Einzelzahlungen!$E$5:$E$84,"&gt;="&amp;J$5,Einzelzahlungen!$E$5:$E$84,"&lt;="&amp;((Start!$B$13+62)))</f>
        <v>0</v>
      </c>
      <c r="K30" s="29" t="n">
        <f aca="false">SUMIF(Zahlungen!$B$7:$B$46,"Steuernachzahlungen",Zahlungen!$Q$7:$Q$46)+SUMIFS(Einzelzahlungen!$D$5:$D$84,Einzelzahlungen!$C$5:$C$84,"Steuernachzahlungen",Einzelzahlungen!$E$5:$E$84,"&gt;="&amp;K$5,Einzelzahlungen!$E$5:$E$84,"&lt;="&amp;((Start!$B$13+69)))</f>
        <v>0</v>
      </c>
      <c r="L30" s="29" t="n">
        <f aca="false">SUMIF(Zahlungen!$B$7:$B$46,"Steuernachzahlungen",Zahlungen!$R$7:$R$46)+SUMIFS(Einzelzahlungen!$D$5:$D$84,Einzelzahlungen!$C$5:$C$84,"Steuernachzahlungen",Einzelzahlungen!$E$5:$E$84,"&gt;="&amp;L$5,Einzelzahlungen!$E$5:$E$84,"&lt;="&amp;((Start!$B$13+76)))</f>
        <v>0</v>
      </c>
      <c r="M30" s="29" t="n">
        <f aca="false">SUMIF(Zahlungen!$B$7:$B$46,"Steuernachzahlungen",Zahlungen!$S$7:$S$46)+SUMIFS(Einzelzahlungen!$D$5:$D$84,Einzelzahlungen!$C$5:$C$84,"Steuernachzahlungen",Einzelzahlungen!$E$5:$E$84,"&gt;="&amp;M$5,Einzelzahlungen!$E$5:$E$84,"&lt;="&amp;((Start!$B$13+83)))</f>
        <v>0</v>
      </c>
      <c r="N30" s="29" t="n">
        <f aca="false">SUMIF(Zahlungen!$B$7:$B$46,"Steuernachzahlungen",Zahlungen!$T$7:$T$46)+SUMIFS(Einzelzahlungen!$D$5:$D$84,Einzelzahlungen!$C$5:$C$84,"Steuernachzahlungen",Einzelzahlungen!$E$5:$E$84,"&gt;="&amp;N$5,Einzelzahlungen!$E$5:$E$84,"&lt;="&amp;((Start!$B$13+90)))</f>
        <v>0</v>
      </c>
      <c r="O30" s="30" t="n">
        <f aca="false">SUM(B30:N30)</f>
        <v>0</v>
      </c>
    </row>
    <row r="31" customFormat="false" ht="15" hidden="false" customHeight="false" outlineLevel="0" collapsed="false">
      <c r="A31" s="4" t="s">
        <v>100</v>
      </c>
      <c r="B31" s="29" t="n">
        <f aca="false">SUMIF(Zahlungen!$B$7:$B$46,"Privatentnahmen",Zahlungen!$H$7:$H$46)+SUMIFS(Einzelzahlungen!$D$5:$D$84,Einzelzahlungen!$C$5:$C$84,"Privatentnahmen",Einzelzahlungen!$E$5:$E$84,"&gt;="&amp;B$5,Einzelzahlungen!$E$5:$E$84,"&lt;="&amp;((Start!$B$13+6)))</f>
        <v>0</v>
      </c>
      <c r="C31" s="29" t="n">
        <f aca="false">SUMIF(Zahlungen!$B$7:$B$46,"Privatentnahmen",Zahlungen!$I$7:$I$46)+SUMIFS(Einzelzahlungen!$D$5:$D$84,Einzelzahlungen!$C$5:$C$84,"Privatentnahmen",Einzelzahlungen!$E$5:$E$84,"&gt;="&amp;C$5,Einzelzahlungen!$E$5:$E$84,"&lt;="&amp;((Start!$B$13+13)))</f>
        <v>0</v>
      </c>
      <c r="D31" s="29" t="n">
        <f aca="false">SUMIF(Zahlungen!$B$7:$B$46,"Privatentnahmen",Zahlungen!$J$7:$J$46)+SUMIFS(Einzelzahlungen!$D$5:$D$84,Einzelzahlungen!$C$5:$C$84,"Privatentnahmen",Einzelzahlungen!$E$5:$E$84,"&gt;="&amp;D$5,Einzelzahlungen!$E$5:$E$84,"&lt;="&amp;((Start!$B$13+20)))</f>
        <v>0</v>
      </c>
      <c r="E31" s="29" t="n">
        <f aca="false">SUMIF(Zahlungen!$B$7:$B$46,"Privatentnahmen",Zahlungen!$K$7:$K$46)+SUMIFS(Einzelzahlungen!$D$5:$D$84,Einzelzahlungen!$C$5:$C$84,"Privatentnahmen",Einzelzahlungen!$E$5:$E$84,"&gt;="&amp;E$5,Einzelzahlungen!$E$5:$E$84,"&lt;="&amp;((Start!$B$13+27)))</f>
        <v>0</v>
      </c>
      <c r="F31" s="29" t="n">
        <f aca="false">SUMIF(Zahlungen!$B$7:$B$46,"Privatentnahmen",Zahlungen!$L$7:$L$46)+SUMIFS(Einzelzahlungen!$D$5:$D$84,Einzelzahlungen!$C$5:$C$84,"Privatentnahmen",Einzelzahlungen!$E$5:$E$84,"&gt;="&amp;F$5,Einzelzahlungen!$E$5:$E$84,"&lt;="&amp;((Start!$B$13+34)))</f>
        <v>0</v>
      </c>
      <c r="G31" s="29" t="n">
        <f aca="false">SUMIF(Zahlungen!$B$7:$B$46,"Privatentnahmen",Zahlungen!$M$7:$M$46)+SUMIFS(Einzelzahlungen!$D$5:$D$84,Einzelzahlungen!$C$5:$C$84,"Privatentnahmen",Einzelzahlungen!$E$5:$E$84,"&gt;="&amp;G$5,Einzelzahlungen!$E$5:$E$84,"&lt;="&amp;((Start!$B$13+41)))</f>
        <v>0</v>
      </c>
      <c r="H31" s="29" t="n">
        <f aca="false">SUMIF(Zahlungen!$B$7:$B$46,"Privatentnahmen",Zahlungen!$N$7:$N$46)+SUMIFS(Einzelzahlungen!$D$5:$D$84,Einzelzahlungen!$C$5:$C$84,"Privatentnahmen",Einzelzahlungen!$E$5:$E$84,"&gt;="&amp;H$5,Einzelzahlungen!$E$5:$E$84,"&lt;="&amp;((Start!$B$13+48)))</f>
        <v>0</v>
      </c>
      <c r="I31" s="29" t="n">
        <f aca="false">SUMIF(Zahlungen!$B$7:$B$46,"Privatentnahmen",Zahlungen!$O$7:$O$46)+SUMIFS(Einzelzahlungen!$D$5:$D$84,Einzelzahlungen!$C$5:$C$84,"Privatentnahmen",Einzelzahlungen!$E$5:$E$84,"&gt;="&amp;I$5,Einzelzahlungen!$E$5:$E$84,"&lt;="&amp;((Start!$B$13+55)))</f>
        <v>0</v>
      </c>
      <c r="J31" s="29" t="n">
        <f aca="false">SUMIF(Zahlungen!$B$7:$B$46,"Privatentnahmen",Zahlungen!$P$7:$P$46)+SUMIFS(Einzelzahlungen!$D$5:$D$84,Einzelzahlungen!$C$5:$C$84,"Privatentnahmen",Einzelzahlungen!$E$5:$E$84,"&gt;="&amp;J$5,Einzelzahlungen!$E$5:$E$84,"&lt;="&amp;((Start!$B$13+62)))</f>
        <v>0</v>
      </c>
      <c r="K31" s="29" t="n">
        <f aca="false">SUMIF(Zahlungen!$B$7:$B$46,"Privatentnahmen",Zahlungen!$Q$7:$Q$46)+SUMIFS(Einzelzahlungen!$D$5:$D$84,Einzelzahlungen!$C$5:$C$84,"Privatentnahmen",Einzelzahlungen!$E$5:$E$84,"&gt;="&amp;K$5,Einzelzahlungen!$E$5:$E$84,"&lt;="&amp;((Start!$B$13+69)))</f>
        <v>0</v>
      </c>
      <c r="L31" s="29" t="n">
        <f aca="false">SUMIF(Zahlungen!$B$7:$B$46,"Privatentnahmen",Zahlungen!$R$7:$R$46)+SUMIFS(Einzelzahlungen!$D$5:$D$84,Einzelzahlungen!$C$5:$C$84,"Privatentnahmen",Einzelzahlungen!$E$5:$E$84,"&gt;="&amp;L$5,Einzelzahlungen!$E$5:$E$84,"&lt;="&amp;((Start!$B$13+76)))</f>
        <v>0</v>
      </c>
      <c r="M31" s="29" t="n">
        <f aca="false">SUMIF(Zahlungen!$B$7:$B$46,"Privatentnahmen",Zahlungen!$S$7:$S$46)+SUMIFS(Einzelzahlungen!$D$5:$D$84,Einzelzahlungen!$C$5:$C$84,"Privatentnahmen",Einzelzahlungen!$E$5:$E$84,"&gt;="&amp;M$5,Einzelzahlungen!$E$5:$E$84,"&lt;="&amp;((Start!$B$13+83)))</f>
        <v>0</v>
      </c>
      <c r="N31" s="29" t="n">
        <f aca="false">SUMIF(Zahlungen!$B$7:$B$46,"Privatentnahmen",Zahlungen!$T$7:$T$46)+SUMIFS(Einzelzahlungen!$D$5:$D$84,Einzelzahlungen!$C$5:$C$84,"Privatentnahmen",Einzelzahlungen!$E$5:$E$84,"&gt;="&amp;N$5,Einzelzahlungen!$E$5:$E$84,"&lt;="&amp;((Start!$B$13+90)))</f>
        <v>0</v>
      </c>
      <c r="O31" s="30" t="n">
        <f aca="false">SUM(B31:N31)</f>
        <v>0</v>
      </c>
    </row>
    <row r="32" customFormat="false" ht="15" hidden="false" customHeight="false" outlineLevel="0" collapsed="false">
      <c r="A32" s="4" t="s">
        <v>101</v>
      </c>
      <c r="B32" s="29" t="n">
        <f aca="false">SUMIF(Zahlungen!$B$7:$B$46,"Sonstige Auszahlungen",Zahlungen!$H$7:$H$46)+SUMIFS(Einzelzahlungen!$D$5:$D$84,Einzelzahlungen!$C$5:$C$84,"Sonstige Auszahlungen",Einzelzahlungen!$E$5:$E$84,"&gt;="&amp;B$5,Einzelzahlungen!$E$5:$E$84,"&lt;="&amp;((Start!$B$13+6)))</f>
        <v>0</v>
      </c>
      <c r="C32" s="29" t="n">
        <f aca="false">SUMIF(Zahlungen!$B$7:$B$46,"Sonstige Auszahlungen",Zahlungen!$I$7:$I$46)+SUMIFS(Einzelzahlungen!$D$5:$D$84,Einzelzahlungen!$C$5:$C$84,"Sonstige Auszahlungen",Einzelzahlungen!$E$5:$E$84,"&gt;="&amp;C$5,Einzelzahlungen!$E$5:$E$84,"&lt;="&amp;((Start!$B$13+13)))</f>
        <v>0</v>
      </c>
      <c r="D32" s="29" t="n">
        <f aca="false">SUMIF(Zahlungen!$B$7:$B$46,"Sonstige Auszahlungen",Zahlungen!$J$7:$J$46)+SUMIFS(Einzelzahlungen!$D$5:$D$84,Einzelzahlungen!$C$5:$C$84,"Sonstige Auszahlungen",Einzelzahlungen!$E$5:$E$84,"&gt;="&amp;D$5,Einzelzahlungen!$E$5:$E$84,"&lt;="&amp;((Start!$B$13+20)))</f>
        <v>0</v>
      </c>
      <c r="E32" s="29" t="n">
        <f aca="false">SUMIF(Zahlungen!$B$7:$B$46,"Sonstige Auszahlungen",Zahlungen!$K$7:$K$46)+SUMIFS(Einzelzahlungen!$D$5:$D$84,Einzelzahlungen!$C$5:$C$84,"Sonstige Auszahlungen",Einzelzahlungen!$E$5:$E$84,"&gt;="&amp;E$5,Einzelzahlungen!$E$5:$E$84,"&lt;="&amp;((Start!$B$13+27)))</f>
        <v>0</v>
      </c>
      <c r="F32" s="29" t="n">
        <f aca="false">SUMIF(Zahlungen!$B$7:$B$46,"Sonstige Auszahlungen",Zahlungen!$L$7:$L$46)+SUMIFS(Einzelzahlungen!$D$5:$D$84,Einzelzahlungen!$C$5:$C$84,"Sonstige Auszahlungen",Einzelzahlungen!$E$5:$E$84,"&gt;="&amp;F$5,Einzelzahlungen!$E$5:$E$84,"&lt;="&amp;((Start!$B$13+34)))</f>
        <v>0</v>
      </c>
      <c r="G32" s="29" t="n">
        <f aca="false">SUMIF(Zahlungen!$B$7:$B$46,"Sonstige Auszahlungen",Zahlungen!$M$7:$M$46)+SUMIFS(Einzelzahlungen!$D$5:$D$84,Einzelzahlungen!$C$5:$C$84,"Sonstige Auszahlungen",Einzelzahlungen!$E$5:$E$84,"&gt;="&amp;G$5,Einzelzahlungen!$E$5:$E$84,"&lt;="&amp;((Start!$B$13+41)))</f>
        <v>0</v>
      </c>
      <c r="H32" s="29" t="n">
        <f aca="false">SUMIF(Zahlungen!$B$7:$B$46,"Sonstige Auszahlungen",Zahlungen!$N$7:$N$46)+SUMIFS(Einzelzahlungen!$D$5:$D$84,Einzelzahlungen!$C$5:$C$84,"Sonstige Auszahlungen",Einzelzahlungen!$E$5:$E$84,"&gt;="&amp;H$5,Einzelzahlungen!$E$5:$E$84,"&lt;="&amp;((Start!$B$13+48)))</f>
        <v>0</v>
      </c>
      <c r="I32" s="29" t="n">
        <f aca="false">SUMIF(Zahlungen!$B$7:$B$46,"Sonstige Auszahlungen",Zahlungen!$O$7:$O$46)+SUMIFS(Einzelzahlungen!$D$5:$D$84,Einzelzahlungen!$C$5:$C$84,"Sonstige Auszahlungen",Einzelzahlungen!$E$5:$E$84,"&gt;="&amp;I$5,Einzelzahlungen!$E$5:$E$84,"&lt;="&amp;((Start!$B$13+55)))</f>
        <v>0</v>
      </c>
      <c r="J32" s="29" t="n">
        <f aca="false">SUMIF(Zahlungen!$B$7:$B$46,"Sonstige Auszahlungen",Zahlungen!$P$7:$P$46)+SUMIFS(Einzelzahlungen!$D$5:$D$84,Einzelzahlungen!$C$5:$C$84,"Sonstige Auszahlungen",Einzelzahlungen!$E$5:$E$84,"&gt;="&amp;J$5,Einzelzahlungen!$E$5:$E$84,"&lt;="&amp;((Start!$B$13+62)))</f>
        <v>0</v>
      </c>
      <c r="K32" s="29" t="n">
        <f aca="false">SUMIF(Zahlungen!$B$7:$B$46,"Sonstige Auszahlungen",Zahlungen!$Q$7:$Q$46)+SUMIFS(Einzelzahlungen!$D$5:$D$84,Einzelzahlungen!$C$5:$C$84,"Sonstige Auszahlungen",Einzelzahlungen!$E$5:$E$84,"&gt;="&amp;K$5,Einzelzahlungen!$E$5:$E$84,"&lt;="&amp;((Start!$B$13+69)))</f>
        <v>0</v>
      </c>
      <c r="L32" s="29" t="n">
        <f aca="false">SUMIF(Zahlungen!$B$7:$B$46,"Sonstige Auszahlungen",Zahlungen!$R$7:$R$46)+SUMIFS(Einzelzahlungen!$D$5:$D$84,Einzelzahlungen!$C$5:$C$84,"Sonstige Auszahlungen",Einzelzahlungen!$E$5:$E$84,"&gt;="&amp;L$5,Einzelzahlungen!$E$5:$E$84,"&lt;="&amp;((Start!$B$13+76)))</f>
        <v>0</v>
      </c>
      <c r="M32" s="29" t="n">
        <f aca="false">SUMIF(Zahlungen!$B$7:$B$46,"Sonstige Auszahlungen",Zahlungen!$S$7:$S$46)+SUMIFS(Einzelzahlungen!$D$5:$D$84,Einzelzahlungen!$C$5:$C$84,"Sonstige Auszahlungen",Einzelzahlungen!$E$5:$E$84,"&gt;="&amp;M$5,Einzelzahlungen!$E$5:$E$84,"&lt;="&amp;((Start!$B$13+83)))</f>
        <v>0</v>
      </c>
      <c r="N32" s="29" t="n">
        <f aca="false">SUMIF(Zahlungen!$B$7:$B$46,"Sonstige Auszahlungen",Zahlungen!$T$7:$T$46)+SUMIFS(Einzelzahlungen!$D$5:$D$84,Einzelzahlungen!$C$5:$C$84,"Sonstige Auszahlungen",Einzelzahlungen!$E$5:$E$84,"&gt;="&amp;N$5,Einzelzahlungen!$E$5:$E$84,"&lt;="&amp;((Start!$B$13+90)))</f>
        <v>0</v>
      </c>
      <c r="O32" s="30" t="n">
        <f aca="false">SUM(B32:N32)</f>
        <v>0</v>
      </c>
    </row>
    <row r="33" customFormat="false" ht="15" hidden="false" customHeight="false" outlineLevel="0" collapsed="false">
      <c r="A33" s="4" t="s">
        <v>102</v>
      </c>
      <c r="B33" s="30" t="n">
        <f aca="false">MAX(0,-B6)*Start!$B$9*(((Start!$B$13+6))-B$5+1)/365</f>
        <v>-0</v>
      </c>
      <c r="C33" s="30" t="n">
        <f aca="false">MAX(0,-C6)*Start!$B$9*(((Start!$B$13+13))-C$5+1)/365</f>
        <v>-0</v>
      </c>
      <c r="D33" s="30" t="n">
        <f aca="false">MAX(0,-D6)*Start!$B$9*(((Start!$B$13+20))-D$5+1)/365</f>
        <v>-0</v>
      </c>
      <c r="E33" s="30" t="n">
        <f aca="false">MAX(0,-E6)*Start!$B$9*(((Start!$B$13+27))-E$5+1)/365</f>
        <v>-0</v>
      </c>
      <c r="F33" s="30" t="n">
        <f aca="false">MAX(0,-F6)*Start!$B$9*(((Start!$B$13+34))-F$5+1)/365</f>
        <v>-0</v>
      </c>
      <c r="G33" s="30" t="n">
        <f aca="false">MAX(0,-G6)*Start!$B$9*(((Start!$B$13+41))-G$5+1)/365</f>
        <v>-0</v>
      </c>
      <c r="H33" s="30" t="n">
        <f aca="false">MAX(0,-H6)*Start!$B$9*(((Start!$B$13+48))-H$5+1)/365</f>
        <v>-0</v>
      </c>
      <c r="I33" s="30" t="n">
        <f aca="false">MAX(0,-I6)*Start!$B$9*(((Start!$B$13+55))-I$5+1)/365</f>
        <v>-0</v>
      </c>
      <c r="J33" s="30" t="n">
        <f aca="false">MAX(0,-J6)*Start!$B$9*(((Start!$B$13+62))-J$5+1)/365</f>
        <v>-0</v>
      </c>
      <c r="K33" s="30" t="n">
        <f aca="false">MAX(0,-K6)*Start!$B$9*(((Start!$B$13+69))-K$5+1)/365</f>
        <v>-0</v>
      </c>
      <c r="L33" s="30" t="n">
        <f aca="false">MAX(0,-L6)*Start!$B$9*(((Start!$B$13+76))-L$5+1)/365</f>
        <v>-0</v>
      </c>
      <c r="M33" s="30" t="n">
        <f aca="false">MAX(0,-M6)*Start!$B$9*(((Start!$B$13+83))-M$5+1)/365</f>
        <v>-0</v>
      </c>
      <c r="N33" s="30" t="n">
        <f aca="false">MAX(0,-N6)*Start!$B$9*(((Start!$B$13+90))-N$5+1)/365</f>
        <v>-0</v>
      </c>
      <c r="O33" s="30" t="n">
        <f aca="false">SUM(B33:N33)</f>
        <v>0</v>
      </c>
    </row>
    <row r="34" customFormat="false" ht="15" hidden="false" customHeight="false" outlineLevel="0" collapsed="false">
      <c r="A34" s="33" t="s">
        <v>103</v>
      </c>
      <c r="B34" s="34" t="n">
        <f aca="false">SUM(B17:B33)</f>
        <v>0</v>
      </c>
      <c r="C34" s="34" t="n">
        <f aca="false">SUM(C17:C33)</f>
        <v>0</v>
      </c>
      <c r="D34" s="34" t="n">
        <f aca="false">SUM(D17:D33)</f>
        <v>0</v>
      </c>
      <c r="E34" s="34" t="n">
        <f aca="false">SUM(E17:E33)</f>
        <v>0</v>
      </c>
      <c r="F34" s="34" t="n">
        <f aca="false">SUM(F17:F33)</f>
        <v>0</v>
      </c>
      <c r="G34" s="34" t="n">
        <f aca="false">SUM(G17:G33)</f>
        <v>0</v>
      </c>
      <c r="H34" s="34" t="n">
        <f aca="false">SUM(H17:H33)</f>
        <v>0</v>
      </c>
      <c r="I34" s="34" t="n">
        <f aca="false">SUM(I17:I33)</f>
        <v>0</v>
      </c>
      <c r="J34" s="34" t="n">
        <f aca="false">SUM(J17:J33)</f>
        <v>0</v>
      </c>
      <c r="K34" s="34" t="n">
        <f aca="false">SUM(K17:K33)</f>
        <v>0</v>
      </c>
      <c r="L34" s="34" t="n">
        <f aca="false">SUM(L17:L33)</f>
        <v>0</v>
      </c>
      <c r="M34" s="34" t="n">
        <f aca="false">SUM(M17:M33)</f>
        <v>0</v>
      </c>
      <c r="N34" s="34" t="n">
        <f aca="false">SUM(N17:N33)</f>
        <v>0</v>
      </c>
      <c r="O34" s="34" t="n">
        <f aca="false">SUM(B34:N34)</f>
        <v>0</v>
      </c>
    </row>
    <row r="35" customFormat="false" ht="15" hidden="false" customHeight="false" outlineLevel="0" collapsed="false">
      <c r="A35" s="33" t="s">
        <v>104</v>
      </c>
      <c r="B35" s="34" t="n">
        <f aca="false">B15-B34</f>
        <v>0</v>
      </c>
      <c r="C35" s="34" t="n">
        <f aca="false">C15-C34</f>
        <v>0</v>
      </c>
      <c r="D35" s="34" t="n">
        <f aca="false">D15-D34</f>
        <v>0</v>
      </c>
      <c r="E35" s="34" t="n">
        <f aca="false">E15-E34</f>
        <v>0</v>
      </c>
      <c r="F35" s="34" t="n">
        <f aca="false">F15-F34</f>
        <v>0</v>
      </c>
      <c r="G35" s="34" t="n">
        <f aca="false">G15-G34</f>
        <v>0</v>
      </c>
      <c r="H35" s="34" t="n">
        <f aca="false">H15-H34</f>
        <v>0</v>
      </c>
      <c r="I35" s="34" t="n">
        <f aca="false">I15-I34</f>
        <v>0</v>
      </c>
      <c r="J35" s="34" t="n">
        <f aca="false">J15-J34</f>
        <v>0</v>
      </c>
      <c r="K35" s="34" t="n">
        <f aca="false">K15-K34</f>
        <v>0</v>
      </c>
      <c r="L35" s="34" t="n">
        <f aca="false">L15-L34</f>
        <v>0</v>
      </c>
      <c r="M35" s="34" t="n">
        <f aca="false">M15-M34</f>
        <v>0</v>
      </c>
      <c r="N35" s="34" t="n">
        <f aca="false">N15-N34</f>
        <v>0</v>
      </c>
      <c r="O35" s="34" t="n">
        <f aca="false">SUM(B35:N35)</f>
        <v>0</v>
      </c>
    </row>
    <row r="36" customFormat="false" ht="15" hidden="false" customHeight="false" outlineLevel="0" collapsed="false">
      <c r="A36" s="33" t="s">
        <v>105</v>
      </c>
      <c r="B36" s="34" t="n">
        <f aca="false">B6+B35</f>
        <v>0</v>
      </c>
      <c r="C36" s="34" t="n">
        <f aca="false">C6+C35</f>
        <v>0</v>
      </c>
      <c r="D36" s="34" t="n">
        <f aca="false">D6+D35</f>
        <v>0</v>
      </c>
      <c r="E36" s="34" t="n">
        <f aca="false">E6+E35</f>
        <v>0</v>
      </c>
      <c r="F36" s="34" t="n">
        <f aca="false">F6+F35</f>
        <v>0</v>
      </c>
      <c r="G36" s="34" t="n">
        <f aca="false">G6+G35</f>
        <v>0</v>
      </c>
      <c r="H36" s="34" t="n">
        <f aca="false">H6+H35</f>
        <v>0</v>
      </c>
      <c r="I36" s="34" t="n">
        <f aca="false">I6+I35</f>
        <v>0</v>
      </c>
      <c r="J36" s="34" t="n">
        <f aca="false">J6+J35</f>
        <v>0</v>
      </c>
      <c r="K36" s="34" t="n">
        <f aca="false">K6+K35</f>
        <v>0</v>
      </c>
      <c r="L36" s="34" t="n">
        <f aca="false">L6+L35</f>
        <v>0</v>
      </c>
      <c r="M36" s="34" t="n">
        <f aca="false">M6+M35</f>
        <v>0</v>
      </c>
      <c r="N36" s="34" t="n">
        <f aca="false">N6+N35</f>
        <v>0</v>
      </c>
      <c r="O36" s="34" t="n">
        <f aca="false">N36</f>
        <v>0</v>
      </c>
    </row>
    <row r="37" customFormat="false" ht="15" hidden="false" customHeight="false" outlineLevel="0" collapsed="false">
      <c r="A37" s="4" t="s">
        <v>106</v>
      </c>
      <c r="B37" s="29" t="n">
        <f aca="false">Start!$B$8</f>
        <v>0</v>
      </c>
      <c r="C37" s="29" t="n">
        <f aca="false">Start!$B$8</f>
        <v>0</v>
      </c>
      <c r="D37" s="29" t="n">
        <f aca="false">Start!$B$8</f>
        <v>0</v>
      </c>
      <c r="E37" s="29" t="n">
        <f aca="false">Start!$B$8</f>
        <v>0</v>
      </c>
      <c r="F37" s="29" t="n">
        <f aca="false">Start!$B$8</f>
        <v>0</v>
      </c>
      <c r="G37" s="29" t="n">
        <f aca="false">Start!$B$8</f>
        <v>0</v>
      </c>
      <c r="H37" s="29" t="n">
        <f aca="false">Start!$B$8</f>
        <v>0</v>
      </c>
      <c r="I37" s="29" t="n">
        <f aca="false">Start!$B$8</f>
        <v>0</v>
      </c>
      <c r="J37" s="29" t="n">
        <f aca="false">Start!$B$8</f>
        <v>0</v>
      </c>
      <c r="K37" s="29" t="n">
        <f aca="false">Start!$B$8</f>
        <v>0</v>
      </c>
      <c r="L37" s="29" t="n">
        <f aca="false">Start!$B$8</f>
        <v>0</v>
      </c>
      <c r="M37" s="29" t="n">
        <f aca="false">Start!$B$8</f>
        <v>0</v>
      </c>
      <c r="N37" s="29" t="n">
        <f aca="false">Start!$B$8</f>
        <v>0</v>
      </c>
    </row>
    <row r="38" customFormat="false" ht="15" hidden="false" customHeight="false" outlineLevel="0" collapsed="false">
      <c r="A38" s="33" t="s">
        <v>107</v>
      </c>
      <c r="B38" s="34" t="n">
        <f aca="false">B36+B37</f>
        <v>0</v>
      </c>
      <c r="C38" s="34" t="n">
        <f aca="false">C36+C37</f>
        <v>0</v>
      </c>
      <c r="D38" s="34" t="n">
        <f aca="false">D36+D37</f>
        <v>0</v>
      </c>
      <c r="E38" s="34" t="n">
        <f aca="false">E36+E37</f>
        <v>0</v>
      </c>
      <c r="F38" s="34" t="n">
        <f aca="false">F36+F37</f>
        <v>0</v>
      </c>
      <c r="G38" s="34" t="n">
        <f aca="false">G36+G37</f>
        <v>0</v>
      </c>
      <c r="H38" s="34" t="n">
        <f aca="false">H36+H37</f>
        <v>0</v>
      </c>
      <c r="I38" s="34" t="n">
        <f aca="false">I36+I37</f>
        <v>0</v>
      </c>
      <c r="J38" s="34" t="n">
        <f aca="false">J36+J37</f>
        <v>0</v>
      </c>
      <c r="K38" s="34" t="n">
        <f aca="false">K36+K37</f>
        <v>0</v>
      </c>
      <c r="L38" s="34" t="n">
        <f aca="false">L36+L37</f>
        <v>0</v>
      </c>
      <c r="M38" s="34" t="n">
        <f aca="false">M36+M37</f>
        <v>0</v>
      </c>
      <c r="N38" s="34" t="n">
        <f aca="false">N36+N37</f>
        <v>0</v>
      </c>
      <c r="O38" s="35"/>
    </row>
    <row r="39" customFormat="false" ht="15" hidden="false" customHeight="false" outlineLevel="0" collapsed="false">
      <c r="A39" s="4" t="s">
        <v>108</v>
      </c>
      <c r="B39" s="29" t="n">
        <f aca="false">Start!$B$10</f>
        <v>0</v>
      </c>
      <c r="C39" s="29" t="n">
        <f aca="false">Start!$B$10</f>
        <v>0</v>
      </c>
      <c r="D39" s="29" t="n">
        <f aca="false">Start!$B$10</f>
        <v>0</v>
      </c>
      <c r="E39" s="29" t="n">
        <f aca="false">Start!$B$10</f>
        <v>0</v>
      </c>
      <c r="F39" s="29" t="n">
        <f aca="false">Start!$B$10</f>
        <v>0</v>
      </c>
      <c r="G39" s="29" t="n">
        <f aca="false">Start!$B$10</f>
        <v>0</v>
      </c>
      <c r="H39" s="29" t="n">
        <f aca="false">Start!$B$10</f>
        <v>0</v>
      </c>
      <c r="I39" s="29" t="n">
        <f aca="false">Start!$B$10</f>
        <v>0</v>
      </c>
      <c r="J39" s="29" t="n">
        <f aca="false">Start!$B$10</f>
        <v>0</v>
      </c>
      <c r="K39" s="29" t="n">
        <f aca="false">Start!$B$10</f>
        <v>0</v>
      </c>
      <c r="L39" s="29" t="n">
        <f aca="false">Start!$B$10</f>
        <v>0</v>
      </c>
      <c r="M39" s="29" t="n">
        <f aca="false">Start!$B$10</f>
        <v>0</v>
      </c>
      <c r="N39" s="29" t="n">
        <f aca="false">Start!$B$10</f>
        <v>0</v>
      </c>
    </row>
    <row r="40" customFormat="false" ht="15" hidden="false" customHeight="false" outlineLevel="0" collapsed="false">
      <c r="A40" s="4" t="s">
        <v>109</v>
      </c>
      <c r="B40" s="25" t="n">
        <f aca="false">-Start!$B$8</f>
        <v>-0</v>
      </c>
      <c r="C40" s="25" t="n">
        <f aca="false">-Start!$B$8</f>
        <v>-0</v>
      </c>
      <c r="D40" s="25" t="n">
        <f aca="false">-Start!$B$8</f>
        <v>-0</v>
      </c>
      <c r="E40" s="25" t="n">
        <f aca="false">-Start!$B$8</f>
        <v>-0</v>
      </c>
      <c r="F40" s="25" t="n">
        <f aca="false">-Start!$B$8</f>
        <v>-0</v>
      </c>
      <c r="G40" s="25" t="n">
        <f aca="false">-Start!$B$8</f>
        <v>-0</v>
      </c>
      <c r="H40" s="25" t="n">
        <f aca="false">-Start!$B$8</f>
        <v>-0</v>
      </c>
      <c r="I40" s="25" t="n">
        <f aca="false">-Start!$B$8</f>
        <v>-0</v>
      </c>
      <c r="J40" s="25" t="n">
        <f aca="false">-Start!$B$8</f>
        <v>-0</v>
      </c>
      <c r="K40" s="25" t="n">
        <f aca="false">-Start!$B$8</f>
        <v>-0</v>
      </c>
      <c r="L40" s="25" t="n">
        <f aca="false">-Start!$B$8</f>
        <v>-0</v>
      </c>
      <c r="M40" s="25" t="n">
        <f aca="false">-Start!$B$8</f>
        <v>-0</v>
      </c>
      <c r="N40" s="25" t="n">
        <f aca="false">-Start!$B$8</f>
        <v>-0</v>
      </c>
    </row>
    <row r="41" customFormat="false" ht="15" hidden="false" customHeight="false" outlineLevel="0" collapsed="false">
      <c r="A41" s="3" t="s">
        <v>110</v>
      </c>
      <c r="B41" s="36" t="str">
        <f aca="false">IF(B38&lt;0,"Engpass",IF(B36&lt;0,"Kredit",IF(B36&lt;B39,"unter Puffer","ok")))</f>
        <v>ok</v>
      </c>
      <c r="C41" s="36" t="str">
        <f aca="false">IF(C38&lt;0,"Engpass",IF(C36&lt;0,"Kredit",IF(C36&lt;C39,"unter Puffer","ok")))</f>
        <v>ok</v>
      </c>
      <c r="D41" s="36" t="str">
        <f aca="false">IF(D38&lt;0,"Engpass",IF(D36&lt;0,"Kredit",IF(D36&lt;D39,"unter Puffer","ok")))</f>
        <v>ok</v>
      </c>
      <c r="E41" s="36" t="str">
        <f aca="false">IF(E38&lt;0,"Engpass",IF(E36&lt;0,"Kredit",IF(E36&lt;E39,"unter Puffer","ok")))</f>
        <v>ok</v>
      </c>
      <c r="F41" s="36" t="str">
        <f aca="false">IF(F38&lt;0,"Engpass",IF(F36&lt;0,"Kredit",IF(F36&lt;F39,"unter Puffer","ok")))</f>
        <v>ok</v>
      </c>
      <c r="G41" s="36" t="str">
        <f aca="false">IF(G38&lt;0,"Engpass",IF(G36&lt;0,"Kredit",IF(G36&lt;G39,"unter Puffer","ok")))</f>
        <v>ok</v>
      </c>
      <c r="H41" s="36" t="str">
        <f aca="false">IF(H38&lt;0,"Engpass",IF(H36&lt;0,"Kredit",IF(H36&lt;H39,"unter Puffer","ok")))</f>
        <v>ok</v>
      </c>
      <c r="I41" s="36" t="str">
        <f aca="false">IF(I38&lt;0,"Engpass",IF(I36&lt;0,"Kredit",IF(I36&lt;I39,"unter Puffer","ok")))</f>
        <v>ok</v>
      </c>
      <c r="J41" s="36" t="str">
        <f aca="false">IF(J38&lt;0,"Engpass",IF(J36&lt;0,"Kredit",IF(J36&lt;J39,"unter Puffer","ok")))</f>
        <v>ok</v>
      </c>
      <c r="K41" s="36" t="str">
        <f aca="false">IF(K38&lt;0,"Engpass",IF(K36&lt;0,"Kredit",IF(K36&lt;K39,"unter Puffer","ok")))</f>
        <v>ok</v>
      </c>
      <c r="L41" s="36" t="str">
        <f aca="false">IF(L38&lt;0,"Engpass",IF(L36&lt;0,"Kredit",IF(L36&lt;L39,"unter Puffer","ok")))</f>
        <v>ok</v>
      </c>
      <c r="M41" s="36" t="str">
        <f aca="false">IF(M38&lt;0,"Engpass",IF(M36&lt;0,"Kredit",IF(M36&lt;M39,"unter Puffer","ok")))</f>
        <v>ok</v>
      </c>
      <c r="N41" s="36" t="str">
        <f aca="false">IF(N38&lt;0,"Engpass",IF(N36&lt;0,"Kredit",IF(N36&lt;N39,"unter Puffer","ok")))</f>
        <v>ok</v>
      </c>
    </row>
    <row r="43" customFormat="false" ht="15" hidden="false" customHeight="false" outlineLevel="0" collapsed="false">
      <c r="A43" s="3" t="s">
        <v>111</v>
      </c>
    </row>
    <row r="44" customFormat="false" ht="15" hidden="false" customHeight="false" outlineLevel="0" collapsed="false">
      <c r="A44" s="4" t="s">
        <v>112</v>
      </c>
      <c r="B44" s="37" t="n">
        <f aca="false">MIN(B36:N36)</f>
        <v>0</v>
      </c>
      <c r="C44" s="37"/>
    </row>
    <row r="45" customFormat="false" ht="15" hidden="false" customHeight="false" outlineLevel="0" collapsed="false">
      <c r="A45" s="4" t="s">
        <v>113</v>
      </c>
      <c r="B45" s="38" t="str">
        <f aca="false">INDEX(B4:N4,MATCH(MIN(B36:N36),B36:N36,0))</f>
        <v>KW 45</v>
      </c>
      <c r="C45" s="38"/>
    </row>
    <row r="46" customFormat="false" ht="15" hidden="false" customHeight="false" outlineLevel="0" collapsed="false">
      <c r="A46" s="4" t="s">
        <v>114</v>
      </c>
      <c r="B46" s="38" t="str">
        <f aca="false">IFERROR(INDEX(B4:N4,MATCH("Engpass",B41:N41,0)),"keine")</f>
        <v>keine</v>
      </c>
      <c r="C46" s="38"/>
    </row>
    <row r="47" customFormat="false" ht="15" hidden="false" customHeight="false" outlineLevel="0" collapsed="false">
      <c r="A47" s="4" t="s">
        <v>115</v>
      </c>
      <c r="B47" s="38" t="str">
        <f aca="false">IFERROR(INDEX(B4:N4,MATCH(TRUE(),INDEX(B36:N36&lt;Start!$B$10,0),0)),"keine")</f>
        <v>keine</v>
      </c>
      <c r="C47" s="38"/>
    </row>
    <row r="48" customFormat="false" ht="15" hidden="false" customHeight="false" outlineLevel="0" collapsed="false">
      <c r="A48" s="4" t="s">
        <v>116</v>
      </c>
      <c r="B48" s="37" t="n">
        <f aca="false">N36</f>
        <v>0</v>
      </c>
      <c r="C48" s="37"/>
    </row>
    <row r="50" customFormat="false" ht="15" hidden="false" customHeight="false" outlineLevel="0" collapsed="false">
      <c r="A50" s="3" t="s">
        <v>117</v>
      </c>
    </row>
    <row r="51" customFormat="false" ht="15" hidden="false" customHeight="false" outlineLevel="0" collapsed="false">
      <c r="A51" s="4" t="s">
        <v>118</v>
      </c>
      <c r="B51" s="39" t="n">
        <f aca="false">SUMPRODUCT((Zahlungen!$C$7:$C$46&gt;0)*((Zahlungen!$B$7:$B$46="")+(Zahlungen!$D$7:$D$46="")+(Zahlungen!$E$7:$E$46="")&gt;0)*Zahlungen!$C$7:$C$46)</f>
        <v>0</v>
      </c>
      <c r="C51" s="39"/>
    </row>
    <row r="52" customFormat="false" ht="15" hidden="false" customHeight="false" outlineLevel="0" collapsed="false">
      <c r="A52" s="4" t="s">
        <v>119</v>
      </c>
      <c r="B52" s="39" t="n">
        <f aca="false">SUMPRODUCT((Einzelzahlungen!$D$5:$D$84&gt;0)*((Einzelzahlungen!$A$5:$A$84="")+(Einzelzahlungen!$C$5:$C$84="")&gt;0)*Einzelzahlungen!$D$5:$D$84)</f>
        <v>0</v>
      </c>
      <c r="C52" s="39"/>
    </row>
    <row r="53" customFormat="false" ht="15" hidden="false" customHeight="false" outlineLevel="0" collapsed="false">
      <c r="A53" s="4" t="s">
        <v>120</v>
      </c>
      <c r="B53" s="39" t="n">
        <f aca="false">SUMIFS(Einzelzahlungen!$D$5:$D$84,Einzelzahlungen!$E$5:$E$84,"vor Beginn")</f>
        <v>0</v>
      </c>
      <c r="C53" s="39"/>
    </row>
    <row r="54" customFormat="false" ht="15" hidden="false" customHeight="false" outlineLevel="0" collapsed="false">
      <c r="A54" s="4" t="s">
        <v>121</v>
      </c>
      <c r="B54" s="39" t="n">
        <f aca="false">SUMIFS('Offene Posten'!$C$5:$C$64,'Offene Posten'!$G$5:$G$64,"&gt;"&amp;(Start!$B$13+90))+SUMIFS('Offene Posten'!$C$70:$C$129,'Offene Posten'!$G$70:$G$129,"&gt;"&amp;(Start!$B$13+90))+SUMIFS(Einzelzahlungen!$D$5:$D$84,Einzelzahlungen!$E$5:$E$84,"&gt;"&amp;(Start!$B$13+90))</f>
        <v>0</v>
      </c>
      <c r="C54" s="39"/>
    </row>
    <row r="56" customFormat="false" ht="69.75" hidden="false" customHeight="true" outlineLevel="0" collapsed="false">
      <c r="A56" s="19" t="s">
        <v>122</v>
      </c>
      <c r="B56" s="19"/>
      <c r="C56" s="19"/>
    </row>
  </sheetData>
  <sheetProtection sheet="true" formatCells="false" formatColumns="false" formatRows="false"/>
  <mergeCells count="10">
    <mergeCell ref="B44:C44"/>
    <mergeCell ref="B45:C45"/>
    <mergeCell ref="B46:C46"/>
    <mergeCell ref="B47:C47"/>
    <mergeCell ref="B48:C48"/>
    <mergeCell ref="B51:C51"/>
    <mergeCell ref="B52:C52"/>
    <mergeCell ref="B53:C53"/>
    <mergeCell ref="B54:C54"/>
    <mergeCell ref="A56:C56"/>
  </mergeCells>
  <conditionalFormatting sqref="B41:N41">
    <cfRule type="cellIs" priority="2" operator="equal" aboveAverage="0" equalAverage="0" bottom="0" percent="0" rank="0" text="" dxfId="2">
      <formula>"ok"</formula>
    </cfRule>
    <cfRule type="cellIs" priority="3" operator="equal" aboveAverage="0" equalAverage="0" bottom="0" percent="0" rank="0" text="" dxfId="3">
      <formula>"unter Puffer"</formula>
    </cfRule>
    <cfRule type="cellIs" priority="4" operator="equal" aboveAverage="0" equalAverage="0" bottom="0" percent="0" rank="0" text="" dxfId="3">
      <formula>"Kredit"</formula>
    </cfRule>
    <cfRule type="cellIs" priority="5" operator="equal" aboveAverage="0" equalAverage="0" bottom="0" percent="0" rank="0" text="" dxfId="1">
      <formula>"Engpass"</formula>
    </cfRule>
  </conditionalFormatting>
  <conditionalFormatting sqref="B36:N36">
    <cfRule type="cellIs" priority="6" operator="lessThan" aboveAverage="0" equalAverage="0" bottom="0" percent="0" rank="0" text="" dxfId="1">
      <formula>0</formula>
    </cfRule>
  </conditionalFormatting>
  <conditionalFormatting sqref="B51">
    <cfRule type="cellIs" priority="7" operator="notEqual" aboveAverage="0" equalAverage="0" bottom="0" percent="0" rank="0" text="" dxfId="1">
      <formula>0</formula>
    </cfRule>
  </conditionalFormatting>
  <conditionalFormatting sqref="B52">
    <cfRule type="cellIs" priority="8" operator="notEqual" aboveAverage="0" equalAverage="0" bottom="0" percent="0" rank="0" text="" dxfId="1">
      <formula>0</formula>
    </cfRule>
  </conditionalFormatting>
  <conditionalFormatting sqref="B53">
    <cfRule type="cellIs" priority="9" operator="not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13" min="2" style="0" width="10.51"/>
    <col collapsed="false" customWidth="true" hidden="false" outlineLevel="0" max="14" min="14" style="0" width="12"/>
  </cols>
  <sheetData>
    <row r="1" customFormat="false" ht="17.35" hidden="false" customHeight="false" outlineLevel="0" collapsed="false">
      <c r="A1" s="1" t="s">
        <v>123</v>
      </c>
    </row>
    <row r="2" customFormat="false" ht="15" hidden="false" customHeight="false" outlineLevel="0" collapsed="false">
      <c r="A2" s="15" t="s">
        <v>124</v>
      </c>
    </row>
    <row r="3" customFormat="false" ht="15" hidden="false" customHeight="false" outlineLevel="0" collapsed="false">
      <c r="A3" s="26" t="str">
        <f aca="false">IF(ISNUMBER(Start!$B$6),"","Planungsbeginn im Blatt Start fehlt – gerechnet wird vorläufig ab dieser Woche.")</f>
        <v/>
      </c>
    </row>
    <row r="4" customFormat="false" ht="15" hidden="false" customHeight="false" outlineLevel="0" collapsed="false">
      <c r="A4" s="16"/>
      <c r="B4" s="40" t="n">
        <f aca="false">DATE(YEAR(Start!$B$13),MONTH(Start!$B$13)+0,1)</f>
        <v>46327</v>
      </c>
      <c r="C4" s="40" t="n">
        <f aca="false">DATE(YEAR(Start!$B$13),MONTH(Start!$B$13)+1,1)</f>
        <v>46357</v>
      </c>
      <c r="D4" s="40" t="n">
        <f aca="false">DATE(YEAR(Start!$B$13),MONTH(Start!$B$13)+2,1)</f>
        <v>46388</v>
      </c>
      <c r="E4" s="40" t="n">
        <f aca="false">DATE(YEAR(Start!$B$13),MONTH(Start!$B$13)+3,1)</f>
        <v>46419</v>
      </c>
      <c r="F4" s="40" t="n">
        <f aca="false">DATE(YEAR(Start!$B$13),MONTH(Start!$B$13)+4,1)</f>
        <v>46447</v>
      </c>
      <c r="G4" s="40" t="n">
        <f aca="false">DATE(YEAR(Start!$B$13),MONTH(Start!$B$13)+5,1)</f>
        <v>46478</v>
      </c>
      <c r="H4" s="40" t="n">
        <f aca="false">DATE(YEAR(Start!$B$13),MONTH(Start!$B$13)+6,1)</f>
        <v>46508</v>
      </c>
      <c r="I4" s="40" t="n">
        <f aca="false">DATE(YEAR(Start!$B$13),MONTH(Start!$B$13)+7,1)</f>
        <v>46539</v>
      </c>
      <c r="J4" s="40" t="n">
        <f aca="false">DATE(YEAR(Start!$B$13),MONTH(Start!$B$13)+8,1)</f>
        <v>46569</v>
      </c>
      <c r="K4" s="40" t="n">
        <f aca="false">DATE(YEAR(Start!$B$13),MONTH(Start!$B$13)+9,1)</f>
        <v>46600</v>
      </c>
      <c r="L4" s="40" t="n">
        <f aca="false">DATE(YEAR(Start!$B$13),MONTH(Start!$B$13)+10,1)</f>
        <v>46631</v>
      </c>
      <c r="M4" s="40" t="n">
        <f aca="false">DATE(YEAR(Start!$B$13),MONTH(Start!$B$13)+11,1)</f>
        <v>46661</v>
      </c>
      <c r="N4" s="16" t="s">
        <v>73</v>
      </c>
    </row>
    <row r="5" customFormat="false" ht="15" hidden="false" customHeight="false" outlineLevel="0" collapsed="false">
      <c r="A5" s="16" t="s">
        <v>74</v>
      </c>
      <c r="B5" s="28" t="n">
        <f aca="false">Start!$B$13</f>
        <v>46328</v>
      </c>
      <c r="C5" s="28" t="n">
        <f aca="false">DATE(YEAR(Start!$B$13),MONTH(Start!$B$13)+1,1)</f>
        <v>46357</v>
      </c>
      <c r="D5" s="28" t="n">
        <f aca="false">DATE(YEAR(Start!$B$13),MONTH(Start!$B$13)+2,1)</f>
        <v>46388</v>
      </c>
      <c r="E5" s="28" t="n">
        <f aca="false">DATE(YEAR(Start!$B$13),MONTH(Start!$B$13)+3,1)</f>
        <v>46419</v>
      </c>
      <c r="F5" s="28" t="n">
        <f aca="false">DATE(YEAR(Start!$B$13),MONTH(Start!$B$13)+4,1)</f>
        <v>46447</v>
      </c>
      <c r="G5" s="28" t="n">
        <f aca="false">DATE(YEAR(Start!$B$13),MONTH(Start!$B$13)+5,1)</f>
        <v>46478</v>
      </c>
      <c r="H5" s="28" t="n">
        <f aca="false">DATE(YEAR(Start!$B$13),MONTH(Start!$B$13)+6,1)</f>
        <v>46508</v>
      </c>
      <c r="I5" s="28" t="n">
        <f aca="false">DATE(YEAR(Start!$B$13),MONTH(Start!$B$13)+7,1)</f>
        <v>46539</v>
      </c>
      <c r="J5" s="28" t="n">
        <f aca="false">DATE(YEAR(Start!$B$13),MONTH(Start!$B$13)+8,1)</f>
        <v>46569</v>
      </c>
      <c r="K5" s="28" t="n">
        <f aca="false">DATE(YEAR(Start!$B$13),MONTH(Start!$B$13)+9,1)</f>
        <v>46600</v>
      </c>
      <c r="L5" s="28" t="n">
        <f aca="false">DATE(YEAR(Start!$B$13),MONTH(Start!$B$13)+10,1)</f>
        <v>46631</v>
      </c>
      <c r="M5" s="28" t="n">
        <f aca="false">DATE(YEAR(Start!$B$13),MONTH(Start!$B$13)+11,1)</f>
        <v>46661</v>
      </c>
      <c r="N5" s="16"/>
    </row>
    <row r="6" customFormat="false" ht="15" hidden="false" customHeight="false" outlineLevel="0" collapsed="false">
      <c r="A6" s="3" t="s">
        <v>75</v>
      </c>
      <c r="B6" s="29" t="n">
        <f aca="false">Start!$B$7</f>
        <v>0</v>
      </c>
      <c r="C6" s="30" t="n">
        <f aca="false">B36</f>
        <v>0</v>
      </c>
      <c r="D6" s="30" t="n">
        <f aca="false">C36</f>
        <v>0</v>
      </c>
      <c r="E6" s="30" t="n">
        <f aca="false">D36</f>
        <v>0</v>
      </c>
      <c r="F6" s="30" t="n">
        <f aca="false">E36</f>
        <v>0</v>
      </c>
      <c r="G6" s="30" t="n">
        <f aca="false">F36</f>
        <v>0</v>
      </c>
      <c r="H6" s="30" t="n">
        <f aca="false">G36</f>
        <v>0</v>
      </c>
      <c r="I6" s="30" t="n">
        <f aca="false">H36</f>
        <v>0</v>
      </c>
      <c r="J6" s="30" t="n">
        <f aca="false">I36</f>
        <v>0</v>
      </c>
      <c r="K6" s="30" t="n">
        <f aca="false">J36</f>
        <v>0</v>
      </c>
      <c r="L6" s="30" t="n">
        <f aca="false">K36</f>
        <v>0</v>
      </c>
      <c r="M6" s="30" t="n">
        <f aca="false">L36</f>
        <v>0</v>
      </c>
    </row>
    <row r="7" customFormat="false" ht="15" hidden="false" customHeight="false" outlineLevel="0" collapsed="false">
      <c r="A7" s="31" t="s">
        <v>76</v>
      </c>
      <c r="B7" s="32"/>
      <c r="C7" s="32"/>
      <c r="D7" s="32"/>
      <c r="E7" s="32"/>
      <c r="F7" s="32"/>
      <c r="G7" s="32"/>
      <c r="H7" s="32"/>
      <c r="I7" s="32"/>
      <c r="J7" s="32"/>
      <c r="K7" s="32"/>
      <c r="L7" s="32"/>
      <c r="M7" s="32"/>
      <c r="N7" s="32"/>
    </row>
    <row r="8" customFormat="false" ht="15" hidden="false" customHeight="false" outlineLevel="0" collapsed="false">
      <c r="A8" s="4" t="s">
        <v>77</v>
      </c>
      <c r="B8" s="29" t="n">
        <f aca="false">SUMIFS('Offene Posten'!$C$5:$C$64,'Offene Posten'!$G$5:$G$64,"&gt;="&amp;B$5,'Offene Posten'!$G$5:$G$64,"&lt;="&amp;((DATE(YEAR(Start!$B$13),MONTH(Start!$B$13)+1,1)-1)))+SUMIFS('Offene Posten'!$C$5:$C$64,'Offene Posten'!$G$5:$G$64,"&lt;"&amp;B$5)</f>
        <v>0</v>
      </c>
      <c r="C8" s="29" t="n">
        <f aca="false">SUMIFS('Offene Posten'!$C$5:$C$64,'Offene Posten'!$G$5:$G$64,"&gt;="&amp;C$5,'Offene Posten'!$G$5:$G$64,"&lt;="&amp;((DATE(YEAR(Start!$B$13),MONTH(Start!$B$13)+2,1)-1)))</f>
        <v>0</v>
      </c>
      <c r="D8" s="29" t="n">
        <f aca="false">SUMIFS('Offene Posten'!$C$5:$C$64,'Offene Posten'!$G$5:$G$64,"&gt;="&amp;D$5,'Offene Posten'!$G$5:$G$64,"&lt;="&amp;((DATE(YEAR(Start!$B$13),MONTH(Start!$B$13)+3,1)-1)))</f>
        <v>0</v>
      </c>
      <c r="E8" s="29" t="n">
        <f aca="false">SUMIFS('Offene Posten'!$C$5:$C$64,'Offene Posten'!$G$5:$G$64,"&gt;="&amp;E$5,'Offene Posten'!$G$5:$G$64,"&lt;="&amp;((DATE(YEAR(Start!$B$13),MONTH(Start!$B$13)+4,1)-1)))</f>
        <v>0</v>
      </c>
      <c r="F8" s="29" t="n">
        <f aca="false">SUMIFS('Offene Posten'!$C$5:$C$64,'Offene Posten'!$G$5:$G$64,"&gt;="&amp;F$5,'Offene Posten'!$G$5:$G$64,"&lt;="&amp;((DATE(YEAR(Start!$B$13),MONTH(Start!$B$13)+5,1)-1)))</f>
        <v>0</v>
      </c>
      <c r="G8" s="29" t="n">
        <f aca="false">SUMIFS('Offene Posten'!$C$5:$C$64,'Offene Posten'!$G$5:$G$64,"&gt;="&amp;G$5,'Offene Posten'!$G$5:$G$64,"&lt;="&amp;((DATE(YEAR(Start!$B$13),MONTH(Start!$B$13)+6,1)-1)))</f>
        <v>0</v>
      </c>
      <c r="H8" s="29" t="n">
        <f aca="false">SUMIFS('Offene Posten'!$C$5:$C$64,'Offene Posten'!$G$5:$G$64,"&gt;="&amp;H$5,'Offene Posten'!$G$5:$G$64,"&lt;="&amp;((DATE(YEAR(Start!$B$13),MONTH(Start!$B$13)+7,1)-1)))</f>
        <v>0</v>
      </c>
      <c r="I8" s="29" t="n">
        <f aca="false">SUMIFS('Offene Posten'!$C$5:$C$64,'Offene Posten'!$G$5:$G$64,"&gt;="&amp;I$5,'Offene Posten'!$G$5:$G$64,"&lt;="&amp;((DATE(YEAR(Start!$B$13),MONTH(Start!$B$13)+8,1)-1)))</f>
        <v>0</v>
      </c>
      <c r="J8" s="29" t="n">
        <f aca="false">SUMIFS('Offene Posten'!$C$5:$C$64,'Offene Posten'!$G$5:$G$64,"&gt;="&amp;J$5,'Offene Posten'!$G$5:$G$64,"&lt;="&amp;((DATE(YEAR(Start!$B$13),MONTH(Start!$B$13)+9,1)-1)))</f>
        <v>0</v>
      </c>
      <c r="K8" s="29" t="n">
        <f aca="false">SUMIFS('Offene Posten'!$C$5:$C$64,'Offene Posten'!$G$5:$G$64,"&gt;="&amp;K$5,'Offene Posten'!$G$5:$G$64,"&lt;="&amp;((DATE(YEAR(Start!$B$13),MONTH(Start!$B$13)+10,1)-1)))</f>
        <v>0</v>
      </c>
      <c r="L8" s="29" t="n">
        <f aca="false">SUMIFS('Offene Posten'!$C$5:$C$64,'Offene Posten'!$G$5:$G$64,"&gt;="&amp;L$5,'Offene Posten'!$G$5:$G$64,"&lt;="&amp;((DATE(YEAR(Start!$B$13),MONTH(Start!$B$13)+11,1)-1)))</f>
        <v>0</v>
      </c>
      <c r="M8" s="29" t="n">
        <f aca="false">SUMIFS('Offene Posten'!$C$5:$C$64,'Offene Posten'!$G$5:$G$64,"&gt;="&amp;M$5,'Offene Posten'!$G$5:$G$64,"&lt;="&amp;((DATE(YEAR(Start!$B$13),MONTH(Start!$B$13)+12,1)-1)))</f>
        <v>0</v>
      </c>
      <c r="N8" s="30" t="n">
        <f aca="false">SUM(B8:M8)</f>
        <v>0</v>
      </c>
    </row>
    <row r="9" customFormat="false" ht="15" hidden="false" customHeight="false" outlineLevel="0" collapsed="false">
      <c r="A9" s="4" t="s">
        <v>78</v>
      </c>
      <c r="B9" s="29" t="n">
        <f aca="false">SUMIF(Zahlungen!$B$7:$B$46,"Kundenzahlungen (regelmäßig)",Zahlungen!$U$7:$U$46)+SUMIFS(Einzelzahlungen!$D$5:$D$84,Einzelzahlungen!$C$5:$C$84,"Kundenzahlungen (regelmäßig)",Einzelzahlungen!$E$5:$E$84,"&gt;="&amp;B$5,Einzelzahlungen!$E$5:$E$84,"&lt;="&amp;((DATE(YEAR(Start!$B$13),MONTH(Start!$B$13)+1,1)-1)))</f>
        <v>0</v>
      </c>
      <c r="C9" s="29" t="n">
        <f aca="false">SUMIF(Zahlungen!$B$7:$B$46,"Kundenzahlungen (regelmäßig)",Zahlungen!$V$7:$V$46)+SUMIFS(Einzelzahlungen!$D$5:$D$84,Einzelzahlungen!$C$5:$C$84,"Kundenzahlungen (regelmäßig)",Einzelzahlungen!$E$5:$E$84,"&gt;="&amp;C$5,Einzelzahlungen!$E$5:$E$84,"&lt;="&amp;((DATE(YEAR(Start!$B$13),MONTH(Start!$B$13)+2,1)-1)))</f>
        <v>0</v>
      </c>
      <c r="D9" s="29" t="n">
        <f aca="false">SUMIF(Zahlungen!$B$7:$B$46,"Kundenzahlungen (regelmäßig)",Zahlungen!$W$7:$W$46)+SUMIFS(Einzelzahlungen!$D$5:$D$84,Einzelzahlungen!$C$5:$C$84,"Kundenzahlungen (regelmäßig)",Einzelzahlungen!$E$5:$E$84,"&gt;="&amp;D$5,Einzelzahlungen!$E$5:$E$84,"&lt;="&amp;((DATE(YEAR(Start!$B$13),MONTH(Start!$B$13)+3,1)-1)))</f>
        <v>0</v>
      </c>
      <c r="E9" s="29" t="n">
        <f aca="false">SUMIF(Zahlungen!$B$7:$B$46,"Kundenzahlungen (regelmäßig)",Zahlungen!$X$7:$X$46)+SUMIFS(Einzelzahlungen!$D$5:$D$84,Einzelzahlungen!$C$5:$C$84,"Kundenzahlungen (regelmäßig)",Einzelzahlungen!$E$5:$E$84,"&gt;="&amp;E$5,Einzelzahlungen!$E$5:$E$84,"&lt;="&amp;((DATE(YEAR(Start!$B$13),MONTH(Start!$B$13)+4,1)-1)))</f>
        <v>0</v>
      </c>
      <c r="F9" s="29" t="n">
        <f aca="false">SUMIF(Zahlungen!$B$7:$B$46,"Kundenzahlungen (regelmäßig)",Zahlungen!$Y$7:$Y$46)+SUMIFS(Einzelzahlungen!$D$5:$D$84,Einzelzahlungen!$C$5:$C$84,"Kundenzahlungen (regelmäßig)",Einzelzahlungen!$E$5:$E$84,"&gt;="&amp;F$5,Einzelzahlungen!$E$5:$E$84,"&lt;="&amp;((DATE(YEAR(Start!$B$13),MONTH(Start!$B$13)+5,1)-1)))</f>
        <v>0</v>
      </c>
      <c r="G9" s="29" t="n">
        <f aca="false">SUMIF(Zahlungen!$B$7:$B$46,"Kundenzahlungen (regelmäßig)",Zahlungen!$Z$7:$Z$46)+SUMIFS(Einzelzahlungen!$D$5:$D$84,Einzelzahlungen!$C$5:$C$84,"Kundenzahlungen (regelmäßig)",Einzelzahlungen!$E$5:$E$84,"&gt;="&amp;G$5,Einzelzahlungen!$E$5:$E$84,"&lt;="&amp;((DATE(YEAR(Start!$B$13),MONTH(Start!$B$13)+6,1)-1)))</f>
        <v>0</v>
      </c>
      <c r="H9" s="29" t="n">
        <f aca="false">SUMIF(Zahlungen!$B$7:$B$46,"Kundenzahlungen (regelmäßig)",Zahlungen!$AA$7:$AA$46)+SUMIFS(Einzelzahlungen!$D$5:$D$84,Einzelzahlungen!$C$5:$C$84,"Kundenzahlungen (regelmäßig)",Einzelzahlungen!$E$5:$E$84,"&gt;="&amp;H$5,Einzelzahlungen!$E$5:$E$84,"&lt;="&amp;((DATE(YEAR(Start!$B$13),MONTH(Start!$B$13)+7,1)-1)))</f>
        <v>0</v>
      </c>
      <c r="I9" s="29" t="n">
        <f aca="false">SUMIF(Zahlungen!$B$7:$B$46,"Kundenzahlungen (regelmäßig)",Zahlungen!$AB$7:$AB$46)+SUMIFS(Einzelzahlungen!$D$5:$D$84,Einzelzahlungen!$C$5:$C$84,"Kundenzahlungen (regelmäßig)",Einzelzahlungen!$E$5:$E$84,"&gt;="&amp;I$5,Einzelzahlungen!$E$5:$E$84,"&lt;="&amp;((DATE(YEAR(Start!$B$13),MONTH(Start!$B$13)+8,1)-1)))</f>
        <v>0</v>
      </c>
      <c r="J9" s="29" t="n">
        <f aca="false">SUMIF(Zahlungen!$B$7:$B$46,"Kundenzahlungen (regelmäßig)",Zahlungen!$AC$7:$AC$46)+SUMIFS(Einzelzahlungen!$D$5:$D$84,Einzelzahlungen!$C$5:$C$84,"Kundenzahlungen (regelmäßig)",Einzelzahlungen!$E$5:$E$84,"&gt;="&amp;J$5,Einzelzahlungen!$E$5:$E$84,"&lt;="&amp;((DATE(YEAR(Start!$B$13),MONTH(Start!$B$13)+9,1)-1)))</f>
        <v>0</v>
      </c>
      <c r="K9" s="29" t="n">
        <f aca="false">SUMIF(Zahlungen!$B$7:$B$46,"Kundenzahlungen (regelmäßig)",Zahlungen!$AD$7:$AD$46)+SUMIFS(Einzelzahlungen!$D$5:$D$84,Einzelzahlungen!$C$5:$C$84,"Kundenzahlungen (regelmäßig)",Einzelzahlungen!$E$5:$E$84,"&gt;="&amp;K$5,Einzelzahlungen!$E$5:$E$84,"&lt;="&amp;((DATE(YEAR(Start!$B$13),MONTH(Start!$B$13)+10,1)-1)))</f>
        <v>0</v>
      </c>
      <c r="L9" s="29" t="n">
        <f aca="false">SUMIF(Zahlungen!$B$7:$B$46,"Kundenzahlungen (regelmäßig)",Zahlungen!$AE$7:$AE$46)+SUMIFS(Einzelzahlungen!$D$5:$D$84,Einzelzahlungen!$C$5:$C$84,"Kundenzahlungen (regelmäßig)",Einzelzahlungen!$E$5:$E$84,"&gt;="&amp;L$5,Einzelzahlungen!$E$5:$E$84,"&lt;="&amp;((DATE(YEAR(Start!$B$13),MONTH(Start!$B$13)+11,1)-1)))</f>
        <v>0</v>
      </c>
      <c r="M9" s="29" t="n">
        <f aca="false">SUMIF(Zahlungen!$B$7:$B$46,"Kundenzahlungen (regelmäßig)",Zahlungen!$AF$7:$AF$46)+SUMIFS(Einzelzahlungen!$D$5:$D$84,Einzelzahlungen!$C$5:$C$84,"Kundenzahlungen (regelmäßig)",Einzelzahlungen!$E$5:$E$84,"&gt;="&amp;M$5,Einzelzahlungen!$E$5:$E$84,"&lt;="&amp;((DATE(YEAR(Start!$B$13),MONTH(Start!$B$13)+12,1)-1)))</f>
        <v>0</v>
      </c>
      <c r="N9" s="30" t="n">
        <f aca="false">SUM(B9:M9)</f>
        <v>0</v>
      </c>
    </row>
    <row r="10" customFormat="false" ht="15" hidden="false" customHeight="false" outlineLevel="0" collapsed="false">
      <c r="A10" s="4" t="s">
        <v>79</v>
      </c>
      <c r="B10" s="29" t="n">
        <f aca="false">SUMIF(Zahlungen!$B$7:$B$46,"Kundenzahlungen (neue Aufträge)",Zahlungen!$U$7:$U$46)+SUMIFS(Einzelzahlungen!$D$5:$D$84,Einzelzahlungen!$C$5:$C$84,"Kundenzahlungen (neue Aufträge)",Einzelzahlungen!$E$5:$E$84,"&gt;="&amp;B$5,Einzelzahlungen!$E$5:$E$84,"&lt;="&amp;((DATE(YEAR(Start!$B$13),MONTH(Start!$B$13)+1,1)-1)))</f>
        <v>0</v>
      </c>
      <c r="C10" s="29" t="n">
        <f aca="false">SUMIF(Zahlungen!$B$7:$B$46,"Kundenzahlungen (neue Aufträge)",Zahlungen!$V$7:$V$46)+SUMIFS(Einzelzahlungen!$D$5:$D$84,Einzelzahlungen!$C$5:$C$84,"Kundenzahlungen (neue Aufträge)",Einzelzahlungen!$E$5:$E$84,"&gt;="&amp;C$5,Einzelzahlungen!$E$5:$E$84,"&lt;="&amp;((DATE(YEAR(Start!$B$13),MONTH(Start!$B$13)+2,1)-1)))</f>
        <v>0</v>
      </c>
      <c r="D10" s="29" t="n">
        <f aca="false">SUMIF(Zahlungen!$B$7:$B$46,"Kundenzahlungen (neue Aufträge)",Zahlungen!$W$7:$W$46)+SUMIFS(Einzelzahlungen!$D$5:$D$84,Einzelzahlungen!$C$5:$C$84,"Kundenzahlungen (neue Aufträge)",Einzelzahlungen!$E$5:$E$84,"&gt;="&amp;D$5,Einzelzahlungen!$E$5:$E$84,"&lt;="&amp;((DATE(YEAR(Start!$B$13),MONTH(Start!$B$13)+3,1)-1)))</f>
        <v>0</v>
      </c>
      <c r="E10" s="29" t="n">
        <f aca="false">SUMIF(Zahlungen!$B$7:$B$46,"Kundenzahlungen (neue Aufträge)",Zahlungen!$X$7:$X$46)+SUMIFS(Einzelzahlungen!$D$5:$D$84,Einzelzahlungen!$C$5:$C$84,"Kundenzahlungen (neue Aufträge)",Einzelzahlungen!$E$5:$E$84,"&gt;="&amp;E$5,Einzelzahlungen!$E$5:$E$84,"&lt;="&amp;((DATE(YEAR(Start!$B$13),MONTH(Start!$B$13)+4,1)-1)))</f>
        <v>0</v>
      </c>
      <c r="F10" s="29" t="n">
        <f aca="false">SUMIF(Zahlungen!$B$7:$B$46,"Kundenzahlungen (neue Aufträge)",Zahlungen!$Y$7:$Y$46)+SUMIFS(Einzelzahlungen!$D$5:$D$84,Einzelzahlungen!$C$5:$C$84,"Kundenzahlungen (neue Aufträge)",Einzelzahlungen!$E$5:$E$84,"&gt;="&amp;F$5,Einzelzahlungen!$E$5:$E$84,"&lt;="&amp;((DATE(YEAR(Start!$B$13),MONTH(Start!$B$13)+5,1)-1)))</f>
        <v>0</v>
      </c>
      <c r="G10" s="29" t="n">
        <f aca="false">SUMIF(Zahlungen!$B$7:$B$46,"Kundenzahlungen (neue Aufträge)",Zahlungen!$Z$7:$Z$46)+SUMIFS(Einzelzahlungen!$D$5:$D$84,Einzelzahlungen!$C$5:$C$84,"Kundenzahlungen (neue Aufträge)",Einzelzahlungen!$E$5:$E$84,"&gt;="&amp;G$5,Einzelzahlungen!$E$5:$E$84,"&lt;="&amp;((DATE(YEAR(Start!$B$13),MONTH(Start!$B$13)+6,1)-1)))</f>
        <v>0</v>
      </c>
      <c r="H10" s="29" t="n">
        <f aca="false">SUMIF(Zahlungen!$B$7:$B$46,"Kundenzahlungen (neue Aufträge)",Zahlungen!$AA$7:$AA$46)+SUMIFS(Einzelzahlungen!$D$5:$D$84,Einzelzahlungen!$C$5:$C$84,"Kundenzahlungen (neue Aufträge)",Einzelzahlungen!$E$5:$E$84,"&gt;="&amp;H$5,Einzelzahlungen!$E$5:$E$84,"&lt;="&amp;((DATE(YEAR(Start!$B$13),MONTH(Start!$B$13)+7,1)-1)))</f>
        <v>0</v>
      </c>
      <c r="I10" s="29" t="n">
        <f aca="false">SUMIF(Zahlungen!$B$7:$B$46,"Kundenzahlungen (neue Aufträge)",Zahlungen!$AB$7:$AB$46)+SUMIFS(Einzelzahlungen!$D$5:$D$84,Einzelzahlungen!$C$5:$C$84,"Kundenzahlungen (neue Aufträge)",Einzelzahlungen!$E$5:$E$84,"&gt;="&amp;I$5,Einzelzahlungen!$E$5:$E$84,"&lt;="&amp;((DATE(YEAR(Start!$B$13),MONTH(Start!$B$13)+8,1)-1)))</f>
        <v>0</v>
      </c>
      <c r="J10" s="29" t="n">
        <f aca="false">SUMIF(Zahlungen!$B$7:$B$46,"Kundenzahlungen (neue Aufträge)",Zahlungen!$AC$7:$AC$46)+SUMIFS(Einzelzahlungen!$D$5:$D$84,Einzelzahlungen!$C$5:$C$84,"Kundenzahlungen (neue Aufträge)",Einzelzahlungen!$E$5:$E$84,"&gt;="&amp;J$5,Einzelzahlungen!$E$5:$E$84,"&lt;="&amp;((DATE(YEAR(Start!$B$13),MONTH(Start!$B$13)+9,1)-1)))</f>
        <v>0</v>
      </c>
      <c r="K10" s="29" t="n">
        <f aca="false">SUMIF(Zahlungen!$B$7:$B$46,"Kundenzahlungen (neue Aufträge)",Zahlungen!$AD$7:$AD$46)+SUMIFS(Einzelzahlungen!$D$5:$D$84,Einzelzahlungen!$C$5:$C$84,"Kundenzahlungen (neue Aufträge)",Einzelzahlungen!$E$5:$E$84,"&gt;="&amp;K$5,Einzelzahlungen!$E$5:$E$84,"&lt;="&amp;((DATE(YEAR(Start!$B$13),MONTH(Start!$B$13)+10,1)-1)))</f>
        <v>0</v>
      </c>
      <c r="L10" s="29" t="n">
        <f aca="false">SUMIF(Zahlungen!$B$7:$B$46,"Kundenzahlungen (neue Aufträge)",Zahlungen!$AE$7:$AE$46)+SUMIFS(Einzelzahlungen!$D$5:$D$84,Einzelzahlungen!$C$5:$C$84,"Kundenzahlungen (neue Aufträge)",Einzelzahlungen!$E$5:$E$84,"&gt;="&amp;L$5,Einzelzahlungen!$E$5:$E$84,"&lt;="&amp;((DATE(YEAR(Start!$B$13),MONTH(Start!$B$13)+11,1)-1)))</f>
        <v>0</v>
      </c>
      <c r="M10" s="29" t="n">
        <f aca="false">SUMIF(Zahlungen!$B$7:$B$46,"Kundenzahlungen (neue Aufträge)",Zahlungen!$AF$7:$AF$46)+SUMIFS(Einzelzahlungen!$D$5:$D$84,Einzelzahlungen!$C$5:$C$84,"Kundenzahlungen (neue Aufträge)",Einzelzahlungen!$E$5:$E$84,"&gt;="&amp;M$5,Einzelzahlungen!$E$5:$E$84,"&lt;="&amp;((DATE(YEAR(Start!$B$13),MONTH(Start!$B$13)+12,1)-1)))</f>
        <v>0</v>
      </c>
      <c r="N10" s="30" t="n">
        <f aca="false">SUM(B10:M10)</f>
        <v>0</v>
      </c>
    </row>
    <row r="11" customFormat="false" ht="15" hidden="false" customHeight="false" outlineLevel="0" collapsed="false">
      <c r="A11" s="4" t="s">
        <v>80</v>
      </c>
      <c r="B11" s="29" t="n">
        <f aca="false">SUMIF(Zahlungen!$B$7:$B$46,"Kredit, Einlage, Zuschuss",Zahlungen!$U$7:$U$46)+SUMIFS(Einzelzahlungen!$D$5:$D$84,Einzelzahlungen!$C$5:$C$84,"Kredit, Einlage, Zuschuss",Einzelzahlungen!$E$5:$E$84,"&gt;="&amp;B$5,Einzelzahlungen!$E$5:$E$84,"&lt;="&amp;((DATE(YEAR(Start!$B$13),MONTH(Start!$B$13)+1,1)-1)))</f>
        <v>0</v>
      </c>
      <c r="C11" s="29" t="n">
        <f aca="false">SUMIF(Zahlungen!$B$7:$B$46,"Kredit, Einlage, Zuschuss",Zahlungen!$V$7:$V$46)+SUMIFS(Einzelzahlungen!$D$5:$D$84,Einzelzahlungen!$C$5:$C$84,"Kredit, Einlage, Zuschuss",Einzelzahlungen!$E$5:$E$84,"&gt;="&amp;C$5,Einzelzahlungen!$E$5:$E$84,"&lt;="&amp;((DATE(YEAR(Start!$B$13),MONTH(Start!$B$13)+2,1)-1)))</f>
        <v>0</v>
      </c>
      <c r="D11" s="29" t="n">
        <f aca="false">SUMIF(Zahlungen!$B$7:$B$46,"Kredit, Einlage, Zuschuss",Zahlungen!$W$7:$W$46)+SUMIFS(Einzelzahlungen!$D$5:$D$84,Einzelzahlungen!$C$5:$C$84,"Kredit, Einlage, Zuschuss",Einzelzahlungen!$E$5:$E$84,"&gt;="&amp;D$5,Einzelzahlungen!$E$5:$E$84,"&lt;="&amp;((DATE(YEAR(Start!$B$13),MONTH(Start!$B$13)+3,1)-1)))</f>
        <v>0</v>
      </c>
      <c r="E11" s="29" t="n">
        <f aca="false">SUMIF(Zahlungen!$B$7:$B$46,"Kredit, Einlage, Zuschuss",Zahlungen!$X$7:$X$46)+SUMIFS(Einzelzahlungen!$D$5:$D$84,Einzelzahlungen!$C$5:$C$84,"Kredit, Einlage, Zuschuss",Einzelzahlungen!$E$5:$E$84,"&gt;="&amp;E$5,Einzelzahlungen!$E$5:$E$84,"&lt;="&amp;((DATE(YEAR(Start!$B$13),MONTH(Start!$B$13)+4,1)-1)))</f>
        <v>0</v>
      </c>
      <c r="F11" s="29" t="n">
        <f aca="false">SUMIF(Zahlungen!$B$7:$B$46,"Kredit, Einlage, Zuschuss",Zahlungen!$Y$7:$Y$46)+SUMIFS(Einzelzahlungen!$D$5:$D$84,Einzelzahlungen!$C$5:$C$84,"Kredit, Einlage, Zuschuss",Einzelzahlungen!$E$5:$E$84,"&gt;="&amp;F$5,Einzelzahlungen!$E$5:$E$84,"&lt;="&amp;((DATE(YEAR(Start!$B$13),MONTH(Start!$B$13)+5,1)-1)))</f>
        <v>0</v>
      </c>
      <c r="G11" s="29" t="n">
        <f aca="false">SUMIF(Zahlungen!$B$7:$B$46,"Kredit, Einlage, Zuschuss",Zahlungen!$Z$7:$Z$46)+SUMIFS(Einzelzahlungen!$D$5:$D$84,Einzelzahlungen!$C$5:$C$84,"Kredit, Einlage, Zuschuss",Einzelzahlungen!$E$5:$E$84,"&gt;="&amp;G$5,Einzelzahlungen!$E$5:$E$84,"&lt;="&amp;((DATE(YEAR(Start!$B$13),MONTH(Start!$B$13)+6,1)-1)))</f>
        <v>0</v>
      </c>
      <c r="H11" s="29" t="n">
        <f aca="false">SUMIF(Zahlungen!$B$7:$B$46,"Kredit, Einlage, Zuschuss",Zahlungen!$AA$7:$AA$46)+SUMIFS(Einzelzahlungen!$D$5:$D$84,Einzelzahlungen!$C$5:$C$84,"Kredit, Einlage, Zuschuss",Einzelzahlungen!$E$5:$E$84,"&gt;="&amp;H$5,Einzelzahlungen!$E$5:$E$84,"&lt;="&amp;((DATE(YEAR(Start!$B$13),MONTH(Start!$B$13)+7,1)-1)))</f>
        <v>0</v>
      </c>
      <c r="I11" s="29" t="n">
        <f aca="false">SUMIF(Zahlungen!$B$7:$B$46,"Kredit, Einlage, Zuschuss",Zahlungen!$AB$7:$AB$46)+SUMIFS(Einzelzahlungen!$D$5:$D$84,Einzelzahlungen!$C$5:$C$84,"Kredit, Einlage, Zuschuss",Einzelzahlungen!$E$5:$E$84,"&gt;="&amp;I$5,Einzelzahlungen!$E$5:$E$84,"&lt;="&amp;((DATE(YEAR(Start!$B$13),MONTH(Start!$B$13)+8,1)-1)))</f>
        <v>0</v>
      </c>
      <c r="J11" s="29" t="n">
        <f aca="false">SUMIF(Zahlungen!$B$7:$B$46,"Kredit, Einlage, Zuschuss",Zahlungen!$AC$7:$AC$46)+SUMIFS(Einzelzahlungen!$D$5:$D$84,Einzelzahlungen!$C$5:$C$84,"Kredit, Einlage, Zuschuss",Einzelzahlungen!$E$5:$E$84,"&gt;="&amp;J$5,Einzelzahlungen!$E$5:$E$84,"&lt;="&amp;((DATE(YEAR(Start!$B$13),MONTH(Start!$B$13)+9,1)-1)))</f>
        <v>0</v>
      </c>
      <c r="K11" s="29" t="n">
        <f aca="false">SUMIF(Zahlungen!$B$7:$B$46,"Kredit, Einlage, Zuschuss",Zahlungen!$AD$7:$AD$46)+SUMIFS(Einzelzahlungen!$D$5:$D$84,Einzelzahlungen!$C$5:$C$84,"Kredit, Einlage, Zuschuss",Einzelzahlungen!$E$5:$E$84,"&gt;="&amp;K$5,Einzelzahlungen!$E$5:$E$84,"&lt;="&amp;((DATE(YEAR(Start!$B$13),MONTH(Start!$B$13)+10,1)-1)))</f>
        <v>0</v>
      </c>
      <c r="L11" s="29" t="n">
        <f aca="false">SUMIF(Zahlungen!$B$7:$B$46,"Kredit, Einlage, Zuschuss",Zahlungen!$AE$7:$AE$46)+SUMIFS(Einzelzahlungen!$D$5:$D$84,Einzelzahlungen!$C$5:$C$84,"Kredit, Einlage, Zuschuss",Einzelzahlungen!$E$5:$E$84,"&gt;="&amp;L$5,Einzelzahlungen!$E$5:$E$84,"&lt;="&amp;((DATE(YEAR(Start!$B$13),MONTH(Start!$B$13)+11,1)-1)))</f>
        <v>0</v>
      </c>
      <c r="M11" s="29" t="n">
        <f aca="false">SUMIF(Zahlungen!$B$7:$B$46,"Kredit, Einlage, Zuschuss",Zahlungen!$AF$7:$AF$46)+SUMIFS(Einzelzahlungen!$D$5:$D$84,Einzelzahlungen!$C$5:$C$84,"Kredit, Einlage, Zuschuss",Einzelzahlungen!$E$5:$E$84,"&gt;="&amp;M$5,Einzelzahlungen!$E$5:$E$84,"&lt;="&amp;((DATE(YEAR(Start!$B$13),MONTH(Start!$B$13)+12,1)-1)))</f>
        <v>0</v>
      </c>
      <c r="N11" s="30" t="n">
        <f aca="false">SUM(B11:M11)</f>
        <v>0</v>
      </c>
    </row>
    <row r="12" customFormat="false" ht="15" hidden="false" customHeight="false" outlineLevel="0" collapsed="false">
      <c r="A12" s="4" t="s">
        <v>81</v>
      </c>
      <c r="B12" s="29" t="n">
        <f aca="false">SUMIF(Zahlungen!$B$7:$B$46,"Steuererstattungen",Zahlungen!$U$7:$U$46)+SUMIFS(Einzelzahlungen!$D$5:$D$84,Einzelzahlungen!$C$5:$C$84,"Steuererstattungen",Einzelzahlungen!$E$5:$E$84,"&gt;="&amp;B$5,Einzelzahlungen!$E$5:$E$84,"&lt;="&amp;((DATE(YEAR(Start!$B$13),MONTH(Start!$B$13)+1,1)-1)))</f>
        <v>0</v>
      </c>
      <c r="C12" s="29" t="n">
        <f aca="false">SUMIF(Zahlungen!$B$7:$B$46,"Steuererstattungen",Zahlungen!$V$7:$V$46)+SUMIFS(Einzelzahlungen!$D$5:$D$84,Einzelzahlungen!$C$5:$C$84,"Steuererstattungen",Einzelzahlungen!$E$5:$E$84,"&gt;="&amp;C$5,Einzelzahlungen!$E$5:$E$84,"&lt;="&amp;((DATE(YEAR(Start!$B$13),MONTH(Start!$B$13)+2,1)-1)))</f>
        <v>0</v>
      </c>
      <c r="D12" s="29" t="n">
        <f aca="false">SUMIF(Zahlungen!$B$7:$B$46,"Steuererstattungen",Zahlungen!$W$7:$W$46)+SUMIFS(Einzelzahlungen!$D$5:$D$84,Einzelzahlungen!$C$5:$C$84,"Steuererstattungen",Einzelzahlungen!$E$5:$E$84,"&gt;="&amp;D$5,Einzelzahlungen!$E$5:$E$84,"&lt;="&amp;((DATE(YEAR(Start!$B$13),MONTH(Start!$B$13)+3,1)-1)))</f>
        <v>0</v>
      </c>
      <c r="E12" s="29" t="n">
        <f aca="false">SUMIF(Zahlungen!$B$7:$B$46,"Steuererstattungen",Zahlungen!$X$7:$X$46)+SUMIFS(Einzelzahlungen!$D$5:$D$84,Einzelzahlungen!$C$5:$C$84,"Steuererstattungen",Einzelzahlungen!$E$5:$E$84,"&gt;="&amp;E$5,Einzelzahlungen!$E$5:$E$84,"&lt;="&amp;((DATE(YEAR(Start!$B$13),MONTH(Start!$B$13)+4,1)-1)))</f>
        <v>0</v>
      </c>
      <c r="F12" s="29" t="n">
        <f aca="false">SUMIF(Zahlungen!$B$7:$B$46,"Steuererstattungen",Zahlungen!$Y$7:$Y$46)+SUMIFS(Einzelzahlungen!$D$5:$D$84,Einzelzahlungen!$C$5:$C$84,"Steuererstattungen",Einzelzahlungen!$E$5:$E$84,"&gt;="&amp;F$5,Einzelzahlungen!$E$5:$E$84,"&lt;="&amp;((DATE(YEAR(Start!$B$13),MONTH(Start!$B$13)+5,1)-1)))</f>
        <v>0</v>
      </c>
      <c r="G12" s="29" t="n">
        <f aca="false">SUMIF(Zahlungen!$B$7:$B$46,"Steuererstattungen",Zahlungen!$Z$7:$Z$46)+SUMIFS(Einzelzahlungen!$D$5:$D$84,Einzelzahlungen!$C$5:$C$84,"Steuererstattungen",Einzelzahlungen!$E$5:$E$84,"&gt;="&amp;G$5,Einzelzahlungen!$E$5:$E$84,"&lt;="&amp;((DATE(YEAR(Start!$B$13),MONTH(Start!$B$13)+6,1)-1)))</f>
        <v>0</v>
      </c>
      <c r="H12" s="29" t="n">
        <f aca="false">SUMIF(Zahlungen!$B$7:$B$46,"Steuererstattungen",Zahlungen!$AA$7:$AA$46)+SUMIFS(Einzelzahlungen!$D$5:$D$84,Einzelzahlungen!$C$5:$C$84,"Steuererstattungen",Einzelzahlungen!$E$5:$E$84,"&gt;="&amp;H$5,Einzelzahlungen!$E$5:$E$84,"&lt;="&amp;((DATE(YEAR(Start!$B$13),MONTH(Start!$B$13)+7,1)-1)))</f>
        <v>0</v>
      </c>
      <c r="I12" s="29" t="n">
        <f aca="false">SUMIF(Zahlungen!$B$7:$B$46,"Steuererstattungen",Zahlungen!$AB$7:$AB$46)+SUMIFS(Einzelzahlungen!$D$5:$D$84,Einzelzahlungen!$C$5:$C$84,"Steuererstattungen",Einzelzahlungen!$E$5:$E$84,"&gt;="&amp;I$5,Einzelzahlungen!$E$5:$E$84,"&lt;="&amp;((DATE(YEAR(Start!$B$13),MONTH(Start!$B$13)+8,1)-1)))</f>
        <v>0</v>
      </c>
      <c r="J12" s="29" t="n">
        <f aca="false">SUMIF(Zahlungen!$B$7:$B$46,"Steuererstattungen",Zahlungen!$AC$7:$AC$46)+SUMIFS(Einzelzahlungen!$D$5:$D$84,Einzelzahlungen!$C$5:$C$84,"Steuererstattungen",Einzelzahlungen!$E$5:$E$84,"&gt;="&amp;J$5,Einzelzahlungen!$E$5:$E$84,"&lt;="&amp;((DATE(YEAR(Start!$B$13),MONTH(Start!$B$13)+9,1)-1)))</f>
        <v>0</v>
      </c>
      <c r="K12" s="29" t="n">
        <f aca="false">SUMIF(Zahlungen!$B$7:$B$46,"Steuererstattungen",Zahlungen!$AD$7:$AD$46)+SUMIFS(Einzelzahlungen!$D$5:$D$84,Einzelzahlungen!$C$5:$C$84,"Steuererstattungen",Einzelzahlungen!$E$5:$E$84,"&gt;="&amp;K$5,Einzelzahlungen!$E$5:$E$84,"&lt;="&amp;((DATE(YEAR(Start!$B$13),MONTH(Start!$B$13)+10,1)-1)))</f>
        <v>0</v>
      </c>
      <c r="L12" s="29" t="n">
        <f aca="false">SUMIF(Zahlungen!$B$7:$B$46,"Steuererstattungen",Zahlungen!$AE$7:$AE$46)+SUMIFS(Einzelzahlungen!$D$5:$D$84,Einzelzahlungen!$C$5:$C$84,"Steuererstattungen",Einzelzahlungen!$E$5:$E$84,"&gt;="&amp;L$5,Einzelzahlungen!$E$5:$E$84,"&lt;="&amp;((DATE(YEAR(Start!$B$13),MONTH(Start!$B$13)+11,1)-1)))</f>
        <v>0</v>
      </c>
      <c r="M12" s="29" t="n">
        <f aca="false">SUMIF(Zahlungen!$B$7:$B$46,"Steuererstattungen",Zahlungen!$AF$7:$AF$46)+SUMIFS(Einzelzahlungen!$D$5:$D$84,Einzelzahlungen!$C$5:$C$84,"Steuererstattungen",Einzelzahlungen!$E$5:$E$84,"&gt;="&amp;M$5,Einzelzahlungen!$E$5:$E$84,"&lt;="&amp;((DATE(YEAR(Start!$B$13),MONTH(Start!$B$13)+12,1)-1)))</f>
        <v>0</v>
      </c>
      <c r="N12" s="30" t="n">
        <f aca="false">SUM(B12:M12)</f>
        <v>0</v>
      </c>
    </row>
    <row r="13" customFormat="false" ht="15" hidden="false" customHeight="false" outlineLevel="0" collapsed="false">
      <c r="A13" s="4" t="s">
        <v>82</v>
      </c>
      <c r="B13" s="29" t="n">
        <f aca="false">SUMIF(Zahlungen!$B$7:$B$46,"Sonstige Einzahlungen",Zahlungen!$U$7:$U$46)+SUMIFS(Einzelzahlungen!$D$5:$D$84,Einzelzahlungen!$C$5:$C$84,"Sonstige Einzahlungen",Einzelzahlungen!$E$5:$E$84,"&gt;="&amp;B$5,Einzelzahlungen!$E$5:$E$84,"&lt;="&amp;((DATE(YEAR(Start!$B$13),MONTH(Start!$B$13)+1,1)-1)))</f>
        <v>0</v>
      </c>
      <c r="C13" s="29" t="n">
        <f aca="false">SUMIF(Zahlungen!$B$7:$B$46,"Sonstige Einzahlungen",Zahlungen!$V$7:$V$46)+SUMIFS(Einzelzahlungen!$D$5:$D$84,Einzelzahlungen!$C$5:$C$84,"Sonstige Einzahlungen",Einzelzahlungen!$E$5:$E$84,"&gt;="&amp;C$5,Einzelzahlungen!$E$5:$E$84,"&lt;="&amp;((DATE(YEAR(Start!$B$13),MONTH(Start!$B$13)+2,1)-1)))</f>
        <v>0</v>
      </c>
      <c r="D13" s="29" t="n">
        <f aca="false">SUMIF(Zahlungen!$B$7:$B$46,"Sonstige Einzahlungen",Zahlungen!$W$7:$W$46)+SUMIFS(Einzelzahlungen!$D$5:$D$84,Einzelzahlungen!$C$5:$C$84,"Sonstige Einzahlungen",Einzelzahlungen!$E$5:$E$84,"&gt;="&amp;D$5,Einzelzahlungen!$E$5:$E$84,"&lt;="&amp;((DATE(YEAR(Start!$B$13),MONTH(Start!$B$13)+3,1)-1)))</f>
        <v>0</v>
      </c>
      <c r="E13" s="29" t="n">
        <f aca="false">SUMIF(Zahlungen!$B$7:$B$46,"Sonstige Einzahlungen",Zahlungen!$X$7:$X$46)+SUMIFS(Einzelzahlungen!$D$5:$D$84,Einzelzahlungen!$C$5:$C$84,"Sonstige Einzahlungen",Einzelzahlungen!$E$5:$E$84,"&gt;="&amp;E$5,Einzelzahlungen!$E$5:$E$84,"&lt;="&amp;((DATE(YEAR(Start!$B$13),MONTH(Start!$B$13)+4,1)-1)))</f>
        <v>0</v>
      </c>
      <c r="F13" s="29" t="n">
        <f aca="false">SUMIF(Zahlungen!$B$7:$B$46,"Sonstige Einzahlungen",Zahlungen!$Y$7:$Y$46)+SUMIFS(Einzelzahlungen!$D$5:$D$84,Einzelzahlungen!$C$5:$C$84,"Sonstige Einzahlungen",Einzelzahlungen!$E$5:$E$84,"&gt;="&amp;F$5,Einzelzahlungen!$E$5:$E$84,"&lt;="&amp;((DATE(YEAR(Start!$B$13),MONTH(Start!$B$13)+5,1)-1)))</f>
        <v>0</v>
      </c>
      <c r="G13" s="29" t="n">
        <f aca="false">SUMIF(Zahlungen!$B$7:$B$46,"Sonstige Einzahlungen",Zahlungen!$Z$7:$Z$46)+SUMIFS(Einzelzahlungen!$D$5:$D$84,Einzelzahlungen!$C$5:$C$84,"Sonstige Einzahlungen",Einzelzahlungen!$E$5:$E$84,"&gt;="&amp;G$5,Einzelzahlungen!$E$5:$E$84,"&lt;="&amp;((DATE(YEAR(Start!$B$13),MONTH(Start!$B$13)+6,1)-1)))</f>
        <v>0</v>
      </c>
      <c r="H13" s="29" t="n">
        <f aca="false">SUMIF(Zahlungen!$B$7:$B$46,"Sonstige Einzahlungen",Zahlungen!$AA$7:$AA$46)+SUMIFS(Einzelzahlungen!$D$5:$D$84,Einzelzahlungen!$C$5:$C$84,"Sonstige Einzahlungen",Einzelzahlungen!$E$5:$E$84,"&gt;="&amp;H$5,Einzelzahlungen!$E$5:$E$84,"&lt;="&amp;((DATE(YEAR(Start!$B$13),MONTH(Start!$B$13)+7,1)-1)))</f>
        <v>0</v>
      </c>
      <c r="I13" s="29" t="n">
        <f aca="false">SUMIF(Zahlungen!$B$7:$B$46,"Sonstige Einzahlungen",Zahlungen!$AB$7:$AB$46)+SUMIFS(Einzelzahlungen!$D$5:$D$84,Einzelzahlungen!$C$5:$C$84,"Sonstige Einzahlungen",Einzelzahlungen!$E$5:$E$84,"&gt;="&amp;I$5,Einzelzahlungen!$E$5:$E$84,"&lt;="&amp;((DATE(YEAR(Start!$B$13),MONTH(Start!$B$13)+8,1)-1)))</f>
        <v>0</v>
      </c>
      <c r="J13" s="29" t="n">
        <f aca="false">SUMIF(Zahlungen!$B$7:$B$46,"Sonstige Einzahlungen",Zahlungen!$AC$7:$AC$46)+SUMIFS(Einzelzahlungen!$D$5:$D$84,Einzelzahlungen!$C$5:$C$84,"Sonstige Einzahlungen",Einzelzahlungen!$E$5:$E$84,"&gt;="&amp;J$5,Einzelzahlungen!$E$5:$E$84,"&lt;="&amp;((DATE(YEAR(Start!$B$13),MONTH(Start!$B$13)+9,1)-1)))</f>
        <v>0</v>
      </c>
      <c r="K13" s="29" t="n">
        <f aca="false">SUMIF(Zahlungen!$B$7:$B$46,"Sonstige Einzahlungen",Zahlungen!$AD$7:$AD$46)+SUMIFS(Einzelzahlungen!$D$5:$D$84,Einzelzahlungen!$C$5:$C$84,"Sonstige Einzahlungen",Einzelzahlungen!$E$5:$E$84,"&gt;="&amp;K$5,Einzelzahlungen!$E$5:$E$84,"&lt;="&amp;((DATE(YEAR(Start!$B$13),MONTH(Start!$B$13)+10,1)-1)))</f>
        <v>0</v>
      </c>
      <c r="L13" s="29" t="n">
        <f aca="false">SUMIF(Zahlungen!$B$7:$B$46,"Sonstige Einzahlungen",Zahlungen!$AE$7:$AE$46)+SUMIFS(Einzelzahlungen!$D$5:$D$84,Einzelzahlungen!$C$5:$C$84,"Sonstige Einzahlungen",Einzelzahlungen!$E$5:$E$84,"&gt;="&amp;L$5,Einzelzahlungen!$E$5:$E$84,"&lt;="&amp;((DATE(YEAR(Start!$B$13),MONTH(Start!$B$13)+11,1)-1)))</f>
        <v>0</v>
      </c>
      <c r="M13" s="29" t="n">
        <f aca="false">SUMIF(Zahlungen!$B$7:$B$46,"Sonstige Einzahlungen",Zahlungen!$AF$7:$AF$46)+SUMIFS(Einzelzahlungen!$D$5:$D$84,Einzelzahlungen!$C$5:$C$84,"Sonstige Einzahlungen",Einzelzahlungen!$E$5:$E$84,"&gt;="&amp;M$5,Einzelzahlungen!$E$5:$E$84,"&lt;="&amp;((DATE(YEAR(Start!$B$13),MONTH(Start!$B$13)+12,1)-1)))</f>
        <v>0</v>
      </c>
      <c r="N13" s="30" t="n">
        <f aca="false">SUM(B13:M13)</f>
        <v>0</v>
      </c>
    </row>
    <row r="14" customFormat="false" ht="15" hidden="false" customHeight="false" outlineLevel="0" collapsed="false">
      <c r="A14" s="4" t="s">
        <v>83</v>
      </c>
      <c r="B14" s="30" t="n">
        <f aca="false">-(B9+B10)*Start!$B$12</f>
        <v>-0</v>
      </c>
      <c r="C14" s="30" t="n">
        <f aca="false">-(C9+C10)*Start!$B$12</f>
        <v>-0</v>
      </c>
      <c r="D14" s="30" t="n">
        <f aca="false">-(D9+D10)*Start!$B$12</f>
        <v>-0</v>
      </c>
      <c r="E14" s="30" t="n">
        <f aca="false">-(E9+E10)*Start!$B$12</f>
        <v>-0</v>
      </c>
      <c r="F14" s="30" t="n">
        <f aca="false">-(F9+F10)*Start!$B$12</f>
        <v>-0</v>
      </c>
      <c r="G14" s="30" t="n">
        <f aca="false">-(G9+G10)*Start!$B$12</f>
        <v>-0</v>
      </c>
      <c r="H14" s="30" t="n">
        <f aca="false">-(H9+H10)*Start!$B$12</f>
        <v>-0</v>
      </c>
      <c r="I14" s="30" t="n">
        <f aca="false">-(I9+I10)*Start!$B$12</f>
        <v>-0</v>
      </c>
      <c r="J14" s="30" t="n">
        <f aca="false">-(J9+J10)*Start!$B$12</f>
        <v>-0</v>
      </c>
      <c r="K14" s="30" t="n">
        <f aca="false">-(K9+K10)*Start!$B$12</f>
        <v>-0</v>
      </c>
      <c r="L14" s="30" t="n">
        <f aca="false">-(L9+L10)*Start!$B$12</f>
        <v>-0</v>
      </c>
      <c r="M14" s="30" t="n">
        <f aca="false">-(M9+M10)*Start!$B$12</f>
        <v>-0</v>
      </c>
      <c r="N14" s="30" t="n">
        <f aca="false">SUM(B14:M14)</f>
        <v>0</v>
      </c>
    </row>
    <row r="15" customFormat="false" ht="15" hidden="false" customHeight="false" outlineLevel="0" collapsed="false">
      <c r="A15" s="33" t="s">
        <v>84</v>
      </c>
      <c r="B15" s="34" t="n">
        <f aca="false">SUM(B8:B14)</f>
        <v>0</v>
      </c>
      <c r="C15" s="34" t="n">
        <f aca="false">SUM(C8:C14)</f>
        <v>0</v>
      </c>
      <c r="D15" s="34" t="n">
        <f aca="false">SUM(D8:D14)</f>
        <v>0</v>
      </c>
      <c r="E15" s="34" t="n">
        <f aca="false">SUM(E8:E14)</f>
        <v>0</v>
      </c>
      <c r="F15" s="34" t="n">
        <f aca="false">SUM(F8:F14)</f>
        <v>0</v>
      </c>
      <c r="G15" s="34" t="n">
        <f aca="false">SUM(G8:G14)</f>
        <v>0</v>
      </c>
      <c r="H15" s="34" t="n">
        <f aca="false">SUM(H8:H14)</f>
        <v>0</v>
      </c>
      <c r="I15" s="34" t="n">
        <f aca="false">SUM(I8:I14)</f>
        <v>0</v>
      </c>
      <c r="J15" s="34" t="n">
        <f aca="false">SUM(J8:J14)</f>
        <v>0</v>
      </c>
      <c r="K15" s="34" t="n">
        <f aca="false">SUM(K8:K14)</f>
        <v>0</v>
      </c>
      <c r="L15" s="34" t="n">
        <f aca="false">SUM(L8:L14)</f>
        <v>0</v>
      </c>
      <c r="M15" s="34" t="n">
        <f aca="false">SUM(M8:M14)</f>
        <v>0</v>
      </c>
      <c r="N15" s="34" t="n">
        <f aca="false">SUM(B15:M15)</f>
        <v>0</v>
      </c>
    </row>
    <row r="16" customFormat="false" ht="15" hidden="false" customHeight="false" outlineLevel="0" collapsed="false">
      <c r="A16" s="31" t="s">
        <v>85</v>
      </c>
      <c r="B16" s="32"/>
      <c r="C16" s="32"/>
      <c r="D16" s="32"/>
      <c r="E16" s="32"/>
      <c r="F16" s="32"/>
      <c r="G16" s="32"/>
      <c r="H16" s="32"/>
      <c r="I16" s="32"/>
      <c r="J16" s="32"/>
      <c r="K16" s="32"/>
      <c r="L16" s="32"/>
      <c r="M16" s="32"/>
      <c r="N16" s="32"/>
    </row>
    <row r="17" customFormat="false" ht="15" hidden="false" customHeight="false" outlineLevel="0" collapsed="false">
      <c r="A17" s="4" t="s">
        <v>86</v>
      </c>
      <c r="B17" s="29" t="n">
        <f aca="false">SUMIFS('Offene Posten'!$C$70:$C$129,'Offene Posten'!$G$70:$G$129,"&gt;="&amp;B$5,'Offene Posten'!$G$70:$G$129,"&lt;="&amp;((DATE(YEAR(Start!$B$13),MONTH(Start!$B$13)+1,1)-1)))+SUMIFS('Offene Posten'!$C$70:$C$129,'Offene Posten'!$G$70:$G$129,"&lt;"&amp;B$5)</f>
        <v>0</v>
      </c>
      <c r="C17" s="29" t="n">
        <f aca="false">SUMIFS('Offene Posten'!$C$70:$C$129,'Offene Posten'!$G$70:$G$129,"&gt;="&amp;C$5,'Offene Posten'!$G$70:$G$129,"&lt;="&amp;((DATE(YEAR(Start!$B$13),MONTH(Start!$B$13)+2,1)-1)))</f>
        <v>0</v>
      </c>
      <c r="D17" s="29" t="n">
        <f aca="false">SUMIFS('Offene Posten'!$C$70:$C$129,'Offene Posten'!$G$70:$G$129,"&gt;="&amp;D$5,'Offene Posten'!$G$70:$G$129,"&lt;="&amp;((DATE(YEAR(Start!$B$13),MONTH(Start!$B$13)+3,1)-1)))</f>
        <v>0</v>
      </c>
      <c r="E17" s="29" t="n">
        <f aca="false">SUMIFS('Offene Posten'!$C$70:$C$129,'Offene Posten'!$G$70:$G$129,"&gt;="&amp;E$5,'Offene Posten'!$G$70:$G$129,"&lt;="&amp;((DATE(YEAR(Start!$B$13),MONTH(Start!$B$13)+4,1)-1)))</f>
        <v>0</v>
      </c>
      <c r="F17" s="29" t="n">
        <f aca="false">SUMIFS('Offene Posten'!$C$70:$C$129,'Offene Posten'!$G$70:$G$129,"&gt;="&amp;F$5,'Offene Posten'!$G$70:$G$129,"&lt;="&amp;((DATE(YEAR(Start!$B$13),MONTH(Start!$B$13)+5,1)-1)))</f>
        <v>0</v>
      </c>
      <c r="G17" s="29" t="n">
        <f aca="false">SUMIFS('Offene Posten'!$C$70:$C$129,'Offene Posten'!$G$70:$G$129,"&gt;="&amp;G$5,'Offene Posten'!$G$70:$G$129,"&lt;="&amp;((DATE(YEAR(Start!$B$13),MONTH(Start!$B$13)+6,1)-1)))</f>
        <v>0</v>
      </c>
      <c r="H17" s="29" t="n">
        <f aca="false">SUMIFS('Offene Posten'!$C$70:$C$129,'Offene Posten'!$G$70:$G$129,"&gt;="&amp;H$5,'Offene Posten'!$G$70:$G$129,"&lt;="&amp;((DATE(YEAR(Start!$B$13),MONTH(Start!$B$13)+7,1)-1)))</f>
        <v>0</v>
      </c>
      <c r="I17" s="29" t="n">
        <f aca="false">SUMIFS('Offene Posten'!$C$70:$C$129,'Offene Posten'!$G$70:$G$129,"&gt;="&amp;I$5,'Offene Posten'!$G$70:$G$129,"&lt;="&amp;((DATE(YEAR(Start!$B$13),MONTH(Start!$B$13)+8,1)-1)))</f>
        <v>0</v>
      </c>
      <c r="J17" s="29" t="n">
        <f aca="false">SUMIFS('Offene Posten'!$C$70:$C$129,'Offene Posten'!$G$70:$G$129,"&gt;="&amp;J$5,'Offene Posten'!$G$70:$G$129,"&lt;="&amp;((DATE(YEAR(Start!$B$13),MONTH(Start!$B$13)+9,1)-1)))</f>
        <v>0</v>
      </c>
      <c r="K17" s="29" t="n">
        <f aca="false">SUMIFS('Offene Posten'!$C$70:$C$129,'Offene Posten'!$G$70:$G$129,"&gt;="&amp;K$5,'Offene Posten'!$G$70:$G$129,"&lt;="&amp;((DATE(YEAR(Start!$B$13),MONTH(Start!$B$13)+10,1)-1)))</f>
        <v>0</v>
      </c>
      <c r="L17" s="29" t="n">
        <f aca="false">SUMIFS('Offene Posten'!$C$70:$C$129,'Offene Posten'!$G$70:$G$129,"&gt;="&amp;L$5,'Offene Posten'!$G$70:$G$129,"&lt;="&amp;((DATE(YEAR(Start!$B$13),MONTH(Start!$B$13)+11,1)-1)))</f>
        <v>0</v>
      </c>
      <c r="M17" s="29" t="n">
        <f aca="false">SUMIFS('Offene Posten'!$C$70:$C$129,'Offene Posten'!$G$70:$G$129,"&gt;="&amp;M$5,'Offene Posten'!$G$70:$G$129,"&lt;="&amp;((DATE(YEAR(Start!$B$13),MONTH(Start!$B$13)+12,1)-1)))</f>
        <v>0</v>
      </c>
      <c r="N17" s="30" t="n">
        <f aca="false">SUM(B17:M17)</f>
        <v>0</v>
      </c>
    </row>
    <row r="18" customFormat="false" ht="15" hidden="false" customHeight="false" outlineLevel="0" collapsed="false">
      <c r="A18" s="4" t="s">
        <v>87</v>
      </c>
      <c r="B18" s="29" t="n">
        <f aca="false">SUMIF(Zahlungen!$B$7:$B$46,"Löhne und Gehälter",Zahlungen!$U$7:$U$46)+SUMIFS(Einzelzahlungen!$D$5:$D$84,Einzelzahlungen!$C$5:$C$84,"Löhne und Gehälter",Einzelzahlungen!$E$5:$E$84,"&gt;="&amp;B$5,Einzelzahlungen!$E$5:$E$84,"&lt;="&amp;((DATE(YEAR(Start!$B$13),MONTH(Start!$B$13)+1,1)-1)))</f>
        <v>0</v>
      </c>
      <c r="C18" s="29" t="n">
        <f aca="false">SUMIF(Zahlungen!$B$7:$B$46,"Löhne und Gehälter",Zahlungen!$V$7:$V$46)+SUMIFS(Einzelzahlungen!$D$5:$D$84,Einzelzahlungen!$C$5:$C$84,"Löhne und Gehälter",Einzelzahlungen!$E$5:$E$84,"&gt;="&amp;C$5,Einzelzahlungen!$E$5:$E$84,"&lt;="&amp;((DATE(YEAR(Start!$B$13),MONTH(Start!$B$13)+2,1)-1)))</f>
        <v>0</v>
      </c>
      <c r="D18" s="29" t="n">
        <f aca="false">SUMIF(Zahlungen!$B$7:$B$46,"Löhne und Gehälter",Zahlungen!$W$7:$W$46)+SUMIFS(Einzelzahlungen!$D$5:$D$84,Einzelzahlungen!$C$5:$C$84,"Löhne und Gehälter",Einzelzahlungen!$E$5:$E$84,"&gt;="&amp;D$5,Einzelzahlungen!$E$5:$E$84,"&lt;="&amp;((DATE(YEAR(Start!$B$13),MONTH(Start!$B$13)+3,1)-1)))</f>
        <v>0</v>
      </c>
      <c r="E18" s="29" t="n">
        <f aca="false">SUMIF(Zahlungen!$B$7:$B$46,"Löhne und Gehälter",Zahlungen!$X$7:$X$46)+SUMIFS(Einzelzahlungen!$D$5:$D$84,Einzelzahlungen!$C$5:$C$84,"Löhne und Gehälter",Einzelzahlungen!$E$5:$E$84,"&gt;="&amp;E$5,Einzelzahlungen!$E$5:$E$84,"&lt;="&amp;((DATE(YEAR(Start!$B$13),MONTH(Start!$B$13)+4,1)-1)))</f>
        <v>0</v>
      </c>
      <c r="F18" s="29" t="n">
        <f aca="false">SUMIF(Zahlungen!$B$7:$B$46,"Löhne und Gehälter",Zahlungen!$Y$7:$Y$46)+SUMIFS(Einzelzahlungen!$D$5:$D$84,Einzelzahlungen!$C$5:$C$84,"Löhne und Gehälter",Einzelzahlungen!$E$5:$E$84,"&gt;="&amp;F$5,Einzelzahlungen!$E$5:$E$84,"&lt;="&amp;((DATE(YEAR(Start!$B$13),MONTH(Start!$B$13)+5,1)-1)))</f>
        <v>0</v>
      </c>
      <c r="G18" s="29" t="n">
        <f aca="false">SUMIF(Zahlungen!$B$7:$B$46,"Löhne und Gehälter",Zahlungen!$Z$7:$Z$46)+SUMIFS(Einzelzahlungen!$D$5:$D$84,Einzelzahlungen!$C$5:$C$84,"Löhne und Gehälter",Einzelzahlungen!$E$5:$E$84,"&gt;="&amp;G$5,Einzelzahlungen!$E$5:$E$84,"&lt;="&amp;((DATE(YEAR(Start!$B$13),MONTH(Start!$B$13)+6,1)-1)))</f>
        <v>0</v>
      </c>
      <c r="H18" s="29" t="n">
        <f aca="false">SUMIF(Zahlungen!$B$7:$B$46,"Löhne und Gehälter",Zahlungen!$AA$7:$AA$46)+SUMIFS(Einzelzahlungen!$D$5:$D$84,Einzelzahlungen!$C$5:$C$84,"Löhne und Gehälter",Einzelzahlungen!$E$5:$E$84,"&gt;="&amp;H$5,Einzelzahlungen!$E$5:$E$84,"&lt;="&amp;((DATE(YEAR(Start!$B$13),MONTH(Start!$B$13)+7,1)-1)))</f>
        <v>0</v>
      </c>
      <c r="I18" s="29" t="n">
        <f aca="false">SUMIF(Zahlungen!$B$7:$B$46,"Löhne und Gehälter",Zahlungen!$AB$7:$AB$46)+SUMIFS(Einzelzahlungen!$D$5:$D$84,Einzelzahlungen!$C$5:$C$84,"Löhne und Gehälter",Einzelzahlungen!$E$5:$E$84,"&gt;="&amp;I$5,Einzelzahlungen!$E$5:$E$84,"&lt;="&amp;((DATE(YEAR(Start!$B$13),MONTH(Start!$B$13)+8,1)-1)))</f>
        <v>0</v>
      </c>
      <c r="J18" s="29" t="n">
        <f aca="false">SUMIF(Zahlungen!$B$7:$B$46,"Löhne und Gehälter",Zahlungen!$AC$7:$AC$46)+SUMIFS(Einzelzahlungen!$D$5:$D$84,Einzelzahlungen!$C$5:$C$84,"Löhne und Gehälter",Einzelzahlungen!$E$5:$E$84,"&gt;="&amp;J$5,Einzelzahlungen!$E$5:$E$84,"&lt;="&amp;((DATE(YEAR(Start!$B$13),MONTH(Start!$B$13)+9,1)-1)))</f>
        <v>0</v>
      </c>
      <c r="K18" s="29" t="n">
        <f aca="false">SUMIF(Zahlungen!$B$7:$B$46,"Löhne und Gehälter",Zahlungen!$AD$7:$AD$46)+SUMIFS(Einzelzahlungen!$D$5:$D$84,Einzelzahlungen!$C$5:$C$84,"Löhne und Gehälter",Einzelzahlungen!$E$5:$E$84,"&gt;="&amp;K$5,Einzelzahlungen!$E$5:$E$84,"&lt;="&amp;((DATE(YEAR(Start!$B$13),MONTH(Start!$B$13)+10,1)-1)))</f>
        <v>0</v>
      </c>
      <c r="L18" s="29" t="n">
        <f aca="false">SUMIF(Zahlungen!$B$7:$B$46,"Löhne und Gehälter",Zahlungen!$AE$7:$AE$46)+SUMIFS(Einzelzahlungen!$D$5:$D$84,Einzelzahlungen!$C$5:$C$84,"Löhne und Gehälter",Einzelzahlungen!$E$5:$E$84,"&gt;="&amp;L$5,Einzelzahlungen!$E$5:$E$84,"&lt;="&amp;((DATE(YEAR(Start!$B$13),MONTH(Start!$B$13)+11,1)-1)))</f>
        <v>0</v>
      </c>
      <c r="M18" s="29" t="n">
        <f aca="false">SUMIF(Zahlungen!$B$7:$B$46,"Löhne und Gehälter",Zahlungen!$AF$7:$AF$46)+SUMIFS(Einzelzahlungen!$D$5:$D$84,Einzelzahlungen!$C$5:$C$84,"Löhne und Gehälter",Einzelzahlungen!$E$5:$E$84,"&gt;="&amp;M$5,Einzelzahlungen!$E$5:$E$84,"&lt;="&amp;((DATE(YEAR(Start!$B$13),MONTH(Start!$B$13)+12,1)-1)))</f>
        <v>0</v>
      </c>
      <c r="N18" s="30" t="n">
        <f aca="false">SUM(B18:M18)</f>
        <v>0</v>
      </c>
    </row>
    <row r="19" customFormat="false" ht="15" hidden="false" customHeight="false" outlineLevel="0" collapsed="false">
      <c r="A19" s="4" t="s">
        <v>88</v>
      </c>
      <c r="B19" s="29" t="n">
        <f aca="false">SUMIF(Zahlungen!$B$7:$B$46,"Sozialversicherung und Lohnsteuer",Zahlungen!$U$7:$U$46)+SUMIFS(Einzelzahlungen!$D$5:$D$84,Einzelzahlungen!$C$5:$C$84,"Sozialversicherung und Lohnsteuer",Einzelzahlungen!$E$5:$E$84,"&gt;="&amp;B$5,Einzelzahlungen!$E$5:$E$84,"&lt;="&amp;((DATE(YEAR(Start!$B$13),MONTH(Start!$B$13)+1,1)-1)))</f>
        <v>0</v>
      </c>
      <c r="C19" s="29" t="n">
        <f aca="false">SUMIF(Zahlungen!$B$7:$B$46,"Sozialversicherung und Lohnsteuer",Zahlungen!$V$7:$V$46)+SUMIFS(Einzelzahlungen!$D$5:$D$84,Einzelzahlungen!$C$5:$C$84,"Sozialversicherung und Lohnsteuer",Einzelzahlungen!$E$5:$E$84,"&gt;="&amp;C$5,Einzelzahlungen!$E$5:$E$84,"&lt;="&amp;((DATE(YEAR(Start!$B$13),MONTH(Start!$B$13)+2,1)-1)))</f>
        <v>0</v>
      </c>
      <c r="D19" s="29" t="n">
        <f aca="false">SUMIF(Zahlungen!$B$7:$B$46,"Sozialversicherung und Lohnsteuer",Zahlungen!$W$7:$W$46)+SUMIFS(Einzelzahlungen!$D$5:$D$84,Einzelzahlungen!$C$5:$C$84,"Sozialversicherung und Lohnsteuer",Einzelzahlungen!$E$5:$E$84,"&gt;="&amp;D$5,Einzelzahlungen!$E$5:$E$84,"&lt;="&amp;((DATE(YEAR(Start!$B$13),MONTH(Start!$B$13)+3,1)-1)))</f>
        <v>0</v>
      </c>
      <c r="E19" s="29" t="n">
        <f aca="false">SUMIF(Zahlungen!$B$7:$B$46,"Sozialversicherung und Lohnsteuer",Zahlungen!$X$7:$X$46)+SUMIFS(Einzelzahlungen!$D$5:$D$84,Einzelzahlungen!$C$5:$C$84,"Sozialversicherung und Lohnsteuer",Einzelzahlungen!$E$5:$E$84,"&gt;="&amp;E$5,Einzelzahlungen!$E$5:$E$84,"&lt;="&amp;((DATE(YEAR(Start!$B$13),MONTH(Start!$B$13)+4,1)-1)))</f>
        <v>0</v>
      </c>
      <c r="F19" s="29" t="n">
        <f aca="false">SUMIF(Zahlungen!$B$7:$B$46,"Sozialversicherung und Lohnsteuer",Zahlungen!$Y$7:$Y$46)+SUMIFS(Einzelzahlungen!$D$5:$D$84,Einzelzahlungen!$C$5:$C$84,"Sozialversicherung und Lohnsteuer",Einzelzahlungen!$E$5:$E$84,"&gt;="&amp;F$5,Einzelzahlungen!$E$5:$E$84,"&lt;="&amp;((DATE(YEAR(Start!$B$13),MONTH(Start!$B$13)+5,1)-1)))</f>
        <v>0</v>
      </c>
      <c r="G19" s="29" t="n">
        <f aca="false">SUMIF(Zahlungen!$B$7:$B$46,"Sozialversicherung und Lohnsteuer",Zahlungen!$Z$7:$Z$46)+SUMIFS(Einzelzahlungen!$D$5:$D$84,Einzelzahlungen!$C$5:$C$84,"Sozialversicherung und Lohnsteuer",Einzelzahlungen!$E$5:$E$84,"&gt;="&amp;G$5,Einzelzahlungen!$E$5:$E$84,"&lt;="&amp;((DATE(YEAR(Start!$B$13),MONTH(Start!$B$13)+6,1)-1)))</f>
        <v>0</v>
      </c>
      <c r="H19" s="29" t="n">
        <f aca="false">SUMIF(Zahlungen!$B$7:$B$46,"Sozialversicherung und Lohnsteuer",Zahlungen!$AA$7:$AA$46)+SUMIFS(Einzelzahlungen!$D$5:$D$84,Einzelzahlungen!$C$5:$C$84,"Sozialversicherung und Lohnsteuer",Einzelzahlungen!$E$5:$E$84,"&gt;="&amp;H$5,Einzelzahlungen!$E$5:$E$84,"&lt;="&amp;((DATE(YEAR(Start!$B$13),MONTH(Start!$B$13)+7,1)-1)))</f>
        <v>0</v>
      </c>
      <c r="I19" s="29" t="n">
        <f aca="false">SUMIF(Zahlungen!$B$7:$B$46,"Sozialversicherung und Lohnsteuer",Zahlungen!$AB$7:$AB$46)+SUMIFS(Einzelzahlungen!$D$5:$D$84,Einzelzahlungen!$C$5:$C$84,"Sozialversicherung und Lohnsteuer",Einzelzahlungen!$E$5:$E$84,"&gt;="&amp;I$5,Einzelzahlungen!$E$5:$E$84,"&lt;="&amp;((DATE(YEAR(Start!$B$13),MONTH(Start!$B$13)+8,1)-1)))</f>
        <v>0</v>
      </c>
      <c r="J19" s="29" t="n">
        <f aca="false">SUMIF(Zahlungen!$B$7:$B$46,"Sozialversicherung und Lohnsteuer",Zahlungen!$AC$7:$AC$46)+SUMIFS(Einzelzahlungen!$D$5:$D$84,Einzelzahlungen!$C$5:$C$84,"Sozialversicherung und Lohnsteuer",Einzelzahlungen!$E$5:$E$84,"&gt;="&amp;J$5,Einzelzahlungen!$E$5:$E$84,"&lt;="&amp;((DATE(YEAR(Start!$B$13),MONTH(Start!$B$13)+9,1)-1)))</f>
        <v>0</v>
      </c>
      <c r="K19" s="29" t="n">
        <f aca="false">SUMIF(Zahlungen!$B$7:$B$46,"Sozialversicherung und Lohnsteuer",Zahlungen!$AD$7:$AD$46)+SUMIFS(Einzelzahlungen!$D$5:$D$84,Einzelzahlungen!$C$5:$C$84,"Sozialversicherung und Lohnsteuer",Einzelzahlungen!$E$5:$E$84,"&gt;="&amp;K$5,Einzelzahlungen!$E$5:$E$84,"&lt;="&amp;((DATE(YEAR(Start!$B$13),MONTH(Start!$B$13)+10,1)-1)))</f>
        <v>0</v>
      </c>
      <c r="L19" s="29" t="n">
        <f aca="false">SUMIF(Zahlungen!$B$7:$B$46,"Sozialversicherung und Lohnsteuer",Zahlungen!$AE$7:$AE$46)+SUMIFS(Einzelzahlungen!$D$5:$D$84,Einzelzahlungen!$C$5:$C$84,"Sozialversicherung und Lohnsteuer",Einzelzahlungen!$E$5:$E$84,"&gt;="&amp;L$5,Einzelzahlungen!$E$5:$E$84,"&lt;="&amp;((DATE(YEAR(Start!$B$13),MONTH(Start!$B$13)+11,1)-1)))</f>
        <v>0</v>
      </c>
      <c r="M19" s="29" t="n">
        <f aca="false">SUMIF(Zahlungen!$B$7:$B$46,"Sozialversicherung und Lohnsteuer",Zahlungen!$AF$7:$AF$46)+SUMIFS(Einzelzahlungen!$D$5:$D$84,Einzelzahlungen!$C$5:$C$84,"Sozialversicherung und Lohnsteuer",Einzelzahlungen!$E$5:$E$84,"&gt;="&amp;M$5,Einzelzahlungen!$E$5:$E$84,"&lt;="&amp;((DATE(YEAR(Start!$B$13),MONTH(Start!$B$13)+12,1)-1)))</f>
        <v>0</v>
      </c>
      <c r="N19" s="30" t="n">
        <f aca="false">SUM(B19:M19)</f>
        <v>0</v>
      </c>
    </row>
    <row r="20" customFormat="false" ht="15" hidden="false" customHeight="false" outlineLevel="0" collapsed="false">
      <c r="A20" s="4" t="s">
        <v>89</v>
      </c>
      <c r="B20" s="29" t="n">
        <f aca="false">SUMIF(Zahlungen!$B$7:$B$46,"Miete und Nebenkosten",Zahlungen!$U$7:$U$46)+SUMIFS(Einzelzahlungen!$D$5:$D$84,Einzelzahlungen!$C$5:$C$84,"Miete und Nebenkosten",Einzelzahlungen!$E$5:$E$84,"&gt;="&amp;B$5,Einzelzahlungen!$E$5:$E$84,"&lt;="&amp;((DATE(YEAR(Start!$B$13),MONTH(Start!$B$13)+1,1)-1)))</f>
        <v>0</v>
      </c>
      <c r="C20" s="29" t="n">
        <f aca="false">SUMIF(Zahlungen!$B$7:$B$46,"Miete und Nebenkosten",Zahlungen!$V$7:$V$46)+SUMIFS(Einzelzahlungen!$D$5:$D$84,Einzelzahlungen!$C$5:$C$84,"Miete und Nebenkosten",Einzelzahlungen!$E$5:$E$84,"&gt;="&amp;C$5,Einzelzahlungen!$E$5:$E$84,"&lt;="&amp;((DATE(YEAR(Start!$B$13),MONTH(Start!$B$13)+2,1)-1)))</f>
        <v>0</v>
      </c>
      <c r="D20" s="29" t="n">
        <f aca="false">SUMIF(Zahlungen!$B$7:$B$46,"Miete und Nebenkosten",Zahlungen!$W$7:$W$46)+SUMIFS(Einzelzahlungen!$D$5:$D$84,Einzelzahlungen!$C$5:$C$84,"Miete und Nebenkosten",Einzelzahlungen!$E$5:$E$84,"&gt;="&amp;D$5,Einzelzahlungen!$E$5:$E$84,"&lt;="&amp;((DATE(YEAR(Start!$B$13),MONTH(Start!$B$13)+3,1)-1)))</f>
        <v>0</v>
      </c>
      <c r="E20" s="29" t="n">
        <f aca="false">SUMIF(Zahlungen!$B$7:$B$46,"Miete und Nebenkosten",Zahlungen!$X$7:$X$46)+SUMIFS(Einzelzahlungen!$D$5:$D$84,Einzelzahlungen!$C$5:$C$84,"Miete und Nebenkosten",Einzelzahlungen!$E$5:$E$84,"&gt;="&amp;E$5,Einzelzahlungen!$E$5:$E$84,"&lt;="&amp;((DATE(YEAR(Start!$B$13),MONTH(Start!$B$13)+4,1)-1)))</f>
        <v>0</v>
      </c>
      <c r="F20" s="29" t="n">
        <f aca="false">SUMIF(Zahlungen!$B$7:$B$46,"Miete und Nebenkosten",Zahlungen!$Y$7:$Y$46)+SUMIFS(Einzelzahlungen!$D$5:$D$84,Einzelzahlungen!$C$5:$C$84,"Miete und Nebenkosten",Einzelzahlungen!$E$5:$E$84,"&gt;="&amp;F$5,Einzelzahlungen!$E$5:$E$84,"&lt;="&amp;((DATE(YEAR(Start!$B$13),MONTH(Start!$B$13)+5,1)-1)))</f>
        <v>0</v>
      </c>
      <c r="G20" s="29" t="n">
        <f aca="false">SUMIF(Zahlungen!$B$7:$B$46,"Miete und Nebenkosten",Zahlungen!$Z$7:$Z$46)+SUMIFS(Einzelzahlungen!$D$5:$D$84,Einzelzahlungen!$C$5:$C$84,"Miete und Nebenkosten",Einzelzahlungen!$E$5:$E$84,"&gt;="&amp;G$5,Einzelzahlungen!$E$5:$E$84,"&lt;="&amp;((DATE(YEAR(Start!$B$13),MONTH(Start!$B$13)+6,1)-1)))</f>
        <v>0</v>
      </c>
      <c r="H20" s="29" t="n">
        <f aca="false">SUMIF(Zahlungen!$B$7:$B$46,"Miete und Nebenkosten",Zahlungen!$AA$7:$AA$46)+SUMIFS(Einzelzahlungen!$D$5:$D$84,Einzelzahlungen!$C$5:$C$84,"Miete und Nebenkosten",Einzelzahlungen!$E$5:$E$84,"&gt;="&amp;H$5,Einzelzahlungen!$E$5:$E$84,"&lt;="&amp;((DATE(YEAR(Start!$B$13),MONTH(Start!$B$13)+7,1)-1)))</f>
        <v>0</v>
      </c>
      <c r="I20" s="29" t="n">
        <f aca="false">SUMIF(Zahlungen!$B$7:$B$46,"Miete und Nebenkosten",Zahlungen!$AB$7:$AB$46)+SUMIFS(Einzelzahlungen!$D$5:$D$84,Einzelzahlungen!$C$5:$C$84,"Miete und Nebenkosten",Einzelzahlungen!$E$5:$E$84,"&gt;="&amp;I$5,Einzelzahlungen!$E$5:$E$84,"&lt;="&amp;((DATE(YEAR(Start!$B$13),MONTH(Start!$B$13)+8,1)-1)))</f>
        <v>0</v>
      </c>
      <c r="J20" s="29" t="n">
        <f aca="false">SUMIF(Zahlungen!$B$7:$B$46,"Miete und Nebenkosten",Zahlungen!$AC$7:$AC$46)+SUMIFS(Einzelzahlungen!$D$5:$D$84,Einzelzahlungen!$C$5:$C$84,"Miete und Nebenkosten",Einzelzahlungen!$E$5:$E$84,"&gt;="&amp;J$5,Einzelzahlungen!$E$5:$E$84,"&lt;="&amp;((DATE(YEAR(Start!$B$13),MONTH(Start!$B$13)+9,1)-1)))</f>
        <v>0</v>
      </c>
      <c r="K20" s="29" t="n">
        <f aca="false">SUMIF(Zahlungen!$B$7:$B$46,"Miete und Nebenkosten",Zahlungen!$AD$7:$AD$46)+SUMIFS(Einzelzahlungen!$D$5:$D$84,Einzelzahlungen!$C$5:$C$84,"Miete und Nebenkosten",Einzelzahlungen!$E$5:$E$84,"&gt;="&amp;K$5,Einzelzahlungen!$E$5:$E$84,"&lt;="&amp;((DATE(YEAR(Start!$B$13),MONTH(Start!$B$13)+10,1)-1)))</f>
        <v>0</v>
      </c>
      <c r="L20" s="29" t="n">
        <f aca="false">SUMIF(Zahlungen!$B$7:$B$46,"Miete und Nebenkosten",Zahlungen!$AE$7:$AE$46)+SUMIFS(Einzelzahlungen!$D$5:$D$84,Einzelzahlungen!$C$5:$C$84,"Miete und Nebenkosten",Einzelzahlungen!$E$5:$E$84,"&gt;="&amp;L$5,Einzelzahlungen!$E$5:$E$84,"&lt;="&amp;((DATE(YEAR(Start!$B$13),MONTH(Start!$B$13)+11,1)-1)))</f>
        <v>0</v>
      </c>
      <c r="M20" s="29" t="n">
        <f aca="false">SUMIF(Zahlungen!$B$7:$B$46,"Miete und Nebenkosten",Zahlungen!$AF$7:$AF$46)+SUMIFS(Einzelzahlungen!$D$5:$D$84,Einzelzahlungen!$C$5:$C$84,"Miete und Nebenkosten",Einzelzahlungen!$E$5:$E$84,"&gt;="&amp;M$5,Einzelzahlungen!$E$5:$E$84,"&lt;="&amp;((DATE(YEAR(Start!$B$13),MONTH(Start!$B$13)+12,1)-1)))</f>
        <v>0</v>
      </c>
      <c r="N20" s="30" t="n">
        <f aca="false">SUM(B20:M20)</f>
        <v>0</v>
      </c>
    </row>
    <row r="21" customFormat="false" ht="15" hidden="false" customHeight="false" outlineLevel="0" collapsed="false">
      <c r="A21" s="4" t="s">
        <v>90</v>
      </c>
      <c r="B21" s="29" t="n">
        <f aca="false">SUMIF(Zahlungen!$B$7:$B$46,"Material und Waren",Zahlungen!$U$7:$U$46)+SUMIFS(Einzelzahlungen!$D$5:$D$84,Einzelzahlungen!$C$5:$C$84,"Material und Waren",Einzelzahlungen!$E$5:$E$84,"&gt;="&amp;B$5,Einzelzahlungen!$E$5:$E$84,"&lt;="&amp;((DATE(YEAR(Start!$B$13),MONTH(Start!$B$13)+1,1)-1)))</f>
        <v>0</v>
      </c>
      <c r="C21" s="29" t="n">
        <f aca="false">SUMIF(Zahlungen!$B$7:$B$46,"Material und Waren",Zahlungen!$V$7:$V$46)+SUMIFS(Einzelzahlungen!$D$5:$D$84,Einzelzahlungen!$C$5:$C$84,"Material und Waren",Einzelzahlungen!$E$5:$E$84,"&gt;="&amp;C$5,Einzelzahlungen!$E$5:$E$84,"&lt;="&amp;((DATE(YEAR(Start!$B$13),MONTH(Start!$B$13)+2,1)-1)))</f>
        <v>0</v>
      </c>
      <c r="D21" s="29" t="n">
        <f aca="false">SUMIF(Zahlungen!$B$7:$B$46,"Material und Waren",Zahlungen!$W$7:$W$46)+SUMIFS(Einzelzahlungen!$D$5:$D$84,Einzelzahlungen!$C$5:$C$84,"Material und Waren",Einzelzahlungen!$E$5:$E$84,"&gt;="&amp;D$5,Einzelzahlungen!$E$5:$E$84,"&lt;="&amp;((DATE(YEAR(Start!$B$13),MONTH(Start!$B$13)+3,1)-1)))</f>
        <v>0</v>
      </c>
      <c r="E21" s="29" t="n">
        <f aca="false">SUMIF(Zahlungen!$B$7:$B$46,"Material und Waren",Zahlungen!$X$7:$X$46)+SUMIFS(Einzelzahlungen!$D$5:$D$84,Einzelzahlungen!$C$5:$C$84,"Material und Waren",Einzelzahlungen!$E$5:$E$84,"&gt;="&amp;E$5,Einzelzahlungen!$E$5:$E$84,"&lt;="&amp;((DATE(YEAR(Start!$B$13),MONTH(Start!$B$13)+4,1)-1)))</f>
        <v>0</v>
      </c>
      <c r="F21" s="29" t="n">
        <f aca="false">SUMIF(Zahlungen!$B$7:$B$46,"Material und Waren",Zahlungen!$Y$7:$Y$46)+SUMIFS(Einzelzahlungen!$D$5:$D$84,Einzelzahlungen!$C$5:$C$84,"Material und Waren",Einzelzahlungen!$E$5:$E$84,"&gt;="&amp;F$5,Einzelzahlungen!$E$5:$E$84,"&lt;="&amp;((DATE(YEAR(Start!$B$13),MONTH(Start!$B$13)+5,1)-1)))</f>
        <v>0</v>
      </c>
      <c r="G21" s="29" t="n">
        <f aca="false">SUMIF(Zahlungen!$B$7:$B$46,"Material und Waren",Zahlungen!$Z$7:$Z$46)+SUMIFS(Einzelzahlungen!$D$5:$D$84,Einzelzahlungen!$C$5:$C$84,"Material und Waren",Einzelzahlungen!$E$5:$E$84,"&gt;="&amp;G$5,Einzelzahlungen!$E$5:$E$84,"&lt;="&amp;((DATE(YEAR(Start!$B$13),MONTH(Start!$B$13)+6,1)-1)))</f>
        <v>0</v>
      </c>
      <c r="H21" s="29" t="n">
        <f aca="false">SUMIF(Zahlungen!$B$7:$B$46,"Material und Waren",Zahlungen!$AA$7:$AA$46)+SUMIFS(Einzelzahlungen!$D$5:$D$84,Einzelzahlungen!$C$5:$C$84,"Material und Waren",Einzelzahlungen!$E$5:$E$84,"&gt;="&amp;H$5,Einzelzahlungen!$E$5:$E$84,"&lt;="&amp;((DATE(YEAR(Start!$B$13),MONTH(Start!$B$13)+7,1)-1)))</f>
        <v>0</v>
      </c>
      <c r="I21" s="29" t="n">
        <f aca="false">SUMIF(Zahlungen!$B$7:$B$46,"Material und Waren",Zahlungen!$AB$7:$AB$46)+SUMIFS(Einzelzahlungen!$D$5:$D$84,Einzelzahlungen!$C$5:$C$84,"Material und Waren",Einzelzahlungen!$E$5:$E$84,"&gt;="&amp;I$5,Einzelzahlungen!$E$5:$E$84,"&lt;="&amp;((DATE(YEAR(Start!$B$13),MONTH(Start!$B$13)+8,1)-1)))</f>
        <v>0</v>
      </c>
      <c r="J21" s="29" t="n">
        <f aca="false">SUMIF(Zahlungen!$B$7:$B$46,"Material und Waren",Zahlungen!$AC$7:$AC$46)+SUMIFS(Einzelzahlungen!$D$5:$D$84,Einzelzahlungen!$C$5:$C$84,"Material und Waren",Einzelzahlungen!$E$5:$E$84,"&gt;="&amp;J$5,Einzelzahlungen!$E$5:$E$84,"&lt;="&amp;((DATE(YEAR(Start!$B$13),MONTH(Start!$B$13)+9,1)-1)))</f>
        <v>0</v>
      </c>
      <c r="K21" s="29" t="n">
        <f aca="false">SUMIF(Zahlungen!$B$7:$B$46,"Material und Waren",Zahlungen!$AD$7:$AD$46)+SUMIFS(Einzelzahlungen!$D$5:$D$84,Einzelzahlungen!$C$5:$C$84,"Material und Waren",Einzelzahlungen!$E$5:$E$84,"&gt;="&amp;K$5,Einzelzahlungen!$E$5:$E$84,"&lt;="&amp;((DATE(YEAR(Start!$B$13),MONTH(Start!$B$13)+10,1)-1)))</f>
        <v>0</v>
      </c>
      <c r="L21" s="29" t="n">
        <f aca="false">SUMIF(Zahlungen!$B$7:$B$46,"Material und Waren",Zahlungen!$AE$7:$AE$46)+SUMIFS(Einzelzahlungen!$D$5:$D$84,Einzelzahlungen!$C$5:$C$84,"Material und Waren",Einzelzahlungen!$E$5:$E$84,"&gt;="&amp;L$5,Einzelzahlungen!$E$5:$E$84,"&lt;="&amp;((DATE(YEAR(Start!$B$13),MONTH(Start!$B$13)+11,1)-1)))</f>
        <v>0</v>
      </c>
      <c r="M21" s="29" t="n">
        <f aca="false">SUMIF(Zahlungen!$B$7:$B$46,"Material und Waren",Zahlungen!$AF$7:$AF$46)+SUMIFS(Einzelzahlungen!$D$5:$D$84,Einzelzahlungen!$C$5:$C$84,"Material und Waren",Einzelzahlungen!$E$5:$E$84,"&gt;="&amp;M$5,Einzelzahlungen!$E$5:$E$84,"&lt;="&amp;((DATE(YEAR(Start!$B$13),MONTH(Start!$B$13)+12,1)-1)))</f>
        <v>0</v>
      </c>
      <c r="N21" s="30" t="n">
        <f aca="false">SUM(B21:M21)</f>
        <v>0</v>
      </c>
    </row>
    <row r="22" customFormat="false" ht="15" hidden="false" customHeight="false" outlineLevel="0" collapsed="false">
      <c r="A22" s="4" t="s">
        <v>91</v>
      </c>
      <c r="B22" s="29" t="n">
        <f aca="false">SUMIF(Zahlungen!$B$7:$B$46,"Fahrzeuge und Leasing",Zahlungen!$U$7:$U$46)+SUMIFS(Einzelzahlungen!$D$5:$D$84,Einzelzahlungen!$C$5:$C$84,"Fahrzeuge und Leasing",Einzelzahlungen!$E$5:$E$84,"&gt;="&amp;B$5,Einzelzahlungen!$E$5:$E$84,"&lt;="&amp;((DATE(YEAR(Start!$B$13),MONTH(Start!$B$13)+1,1)-1)))</f>
        <v>0</v>
      </c>
      <c r="C22" s="29" t="n">
        <f aca="false">SUMIF(Zahlungen!$B$7:$B$46,"Fahrzeuge und Leasing",Zahlungen!$V$7:$V$46)+SUMIFS(Einzelzahlungen!$D$5:$D$84,Einzelzahlungen!$C$5:$C$84,"Fahrzeuge und Leasing",Einzelzahlungen!$E$5:$E$84,"&gt;="&amp;C$5,Einzelzahlungen!$E$5:$E$84,"&lt;="&amp;((DATE(YEAR(Start!$B$13),MONTH(Start!$B$13)+2,1)-1)))</f>
        <v>0</v>
      </c>
      <c r="D22" s="29" t="n">
        <f aca="false">SUMIF(Zahlungen!$B$7:$B$46,"Fahrzeuge und Leasing",Zahlungen!$W$7:$W$46)+SUMIFS(Einzelzahlungen!$D$5:$D$84,Einzelzahlungen!$C$5:$C$84,"Fahrzeuge und Leasing",Einzelzahlungen!$E$5:$E$84,"&gt;="&amp;D$5,Einzelzahlungen!$E$5:$E$84,"&lt;="&amp;((DATE(YEAR(Start!$B$13),MONTH(Start!$B$13)+3,1)-1)))</f>
        <v>0</v>
      </c>
      <c r="E22" s="29" t="n">
        <f aca="false">SUMIF(Zahlungen!$B$7:$B$46,"Fahrzeuge und Leasing",Zahlungen!$X$7:$X$46)+SUMIFS(Einzelzahlungen!$D$5:$D$84,Einzelzahlungen!$C$5:$C$84,"Fahrzeuge und Leasing",Einzelzahlungen!$E$5:$E$84,"&gt;="&amp;E$5,Einzelzahlungen!$E$5:$E$84,"&lt;="&amp;((DATE(YEAR(Start!$B$13),MONTH(Start!$B$13)+4,1)-1)))</f>
        <v>0</v>
      </c>
      <c r="F22" s="29" t="n">
        <f aca="false">SUMIF(Zahlungen!$B$7:$B$46,"Fahrzeuge und Leasing",Zahlungen!$Y$7:$Y$46)+SUMIFS(Einzelzahlungen!$D$5:$D$84,Einzelzahlungen!$C$5:$C$84,"Fahrzeuge und Leasing",Einzelzahlungen!$E$5:$E$84,"&gt;="&amp;F$5,Einzelzahlungen!$E$5:$E$84,"&lt;="&amp;((DATE(YEAR(Start!$B$13),MONTH(Start!$B$13)+5,1)-1)))</f>
        <v>0</v>
      </c>
      <c r="G22" s="29" t="n">
        <f aca="false">SUMIF(Zahlungen!$B$7:$B$46,"Fahrzeuge und Leasing",Zahlungen!$Z$7:$Z$46)+SUMIFS(Einzelzahlungen!$D$5:$D$84,Einzelzahlungen!$C$5:$C$84,"Fahrzeuge und Leasing",Einzelzahlungen!$E$5:$E$84,"&gt;="&amp;G$5,Einzelzahlungen!$E$5:$E$84,"&lt;="&amp;((DATE(YEAR(Start!$B$13),MONTH(Start!$B$13)+6,1)-1)))</f>
        <v>0</v>
      </c>
      <c r="H22" s="29" t="n">
        <f aca="false">SUMIF(Zahlungen!$B$7:$B$46,"Fahrzeuge und Leasing",Zahlungen!$AA$7:$AA$46)+SUMIFS(Einzelzahlungen!$D$5:$D$84,Einzelzahlungen!$C$5:$C$84,"Fahrzeuge und Leasing",Einzelzahlungen!$E$5:$E$84,"&gt;="&amp;H$5,Einzelzahlungen!$E$5:$E$84,"&lt;="&amp;((DATE(YEAR(Start!$B$13),MONTH(Start!$B$13)+7,1)-1)))</f>
        <v>0</v>
      </c>
      <c r="I22" s="29" t="n">
        <f aca="false">SUMIF(Zahlungen!$B$7:$B$46,"Fahrzeuge und Leasing",Zahlungen!$AB$7:$AB$46)+SUMIFS(Einzelzahlungen!$D$5:$D$84,Einzelzahlungen!$C$5:$C$84,"Fahrzeuge und Leasing",Einzelzahlungen!$E$5:$E$84,"&gt;="&amp;I$5,Einzelzahlungen!$E$5:$E$84,"&lt;="&amp;((DATE(YEAR(Start!$B$13),MONTH(Start!$B$13)+8,1)-1)))</f>
        <v>0</v>
      </c>
      <c r="J22" s="29" t="n">
        <f aca="false">SUMIF(Zahlungen!$B$7:$B$46,"Fahrzeuge und Leasing",Zahlungen!$AC$7:$AC$46)+SUMIFS(Einzelzahlungen!$D$5:$D$84,Einzelzahlungen!$C$5:$C$84,"Fahrzeuge und Leasing",Einzelzahlungen!$E$5:$E$84,"&gt;="&amp;J$5,Einzelzahlungen!$E$5:$E$84,"&lt;="&amp;((DATE(YEAR(Start!$B$13),MONTH(Start!$B$13)+9,1)-1)))</f>
        <v>0</v>
      </c>
      <c r="K22" s="29" t="n">
        <f aca="false">SUMIF(Zahlungen!$B$7:$B$46,"Fahrzeuge und Leasing",Zahlungen!$AD$7:$AD$46)+SUMIFS(Einzelzahlungen!$D$5:$D$84,Einzelzahlungen!$C$5:$C$84,"Fahrzeuge und Leasing",Einzelzahlungen!$E$5:$E$84,"&gt;="&amp;K$5,Einzelzahlungen!$E$5:$E$84,"&lt;="&amp;((DATE(YEAR(Start!$B$13),MONTH(Start!$B$13)+10,1)-1)))</f>
        <v>0</v>
      </c>
      <c r="L22" s="29" t="n">
        <f aca="false">SUMIF(Zahlungen!$B$7:$B$46,"Fahrzeuge und Leasing",Zahlungen!$AE$7:$AE$46)+SUMIFS(Einzelzahlungen!$D$5:$D$84,Einzelzahlungen!$C$5:$C$84,"Fahrzeuge und Leasing",Einzelzahlungen!$E$5:$E$84,"&gt;="&amp;L$5,Einzelzahlungen!$E$5:$E$84,"&lt;="&amp;((DATE(YEAR(Start!$B$13),MONTH(Start!$B$13)+11,1)-1)))</f>
        <v>0</v>
      </c>
      <c r="M22" s="29" t="n">
        <f aca="false">SUMIF(Zahlungen!$B$7:$B$46,"Fahrzeuge und Leasing",Zahlungen!$AF$7:$AF$46)+SUMIFS(Einzelzahlungen!$D$5:$D$84,Einzelzahlungen!$C$5:$C$84,"Fahrzeuge und Leasing",Einzelzahlungen!$E$5:$E$84,"&gt;="&amp;M$5,Einzelzahlungen!$E$5:$E$84,"&lt;="&amp;((DATE(YEAR(Start!$B$13),MONTH(Start!$B$13)+12,1)-1)))</f>
        <v>0</v>
      </c>
      <c r="N22" s="30" t="n">
        <f aca="false">SUM(B22:M22)</f>
        <v>0</v>
      </c>
    </row>
    <row r="23" customFormat="false" ht="15" hidden="false" customHeight="false" outlineLevel="0" collapsed="false">
      <c r="A23" s="4" t="s">
        <v>92</v>
      </c>
      <c r="B23" s="29" t="n">
        <f aca="false">SUMIF(Zahlungen!$B$7:$B$46,"Versicherungen und Beiträge",Zahlungen!$U$7:$U$46)+SUMIFS(Einzelzahlungen!$D$5:$D$84,Einzelzahlungen!$C$5:$C$84,"Versicherungen und Beiträge",Einzelzahlungen!$E$5:$E$84,"&gt;="&amp;B$5,Einzelzahlungen!$E$5:$E$84,"&lt;="&amp;((DATE(YEAR(Start!$B$13),MONTH(Start!$B$13)+1,1)-1)))</f>
        <v>0</v>
      </c>
      <c r="C23" s="29" t="n">
        <f aca="false">SUMIF(Zahlungen!$B$7:$B$46,"Versicherungen und Beiträge",Zahlungen!$V$7:$V$46)+SUMIFS(Einzelzahlungen!$D$5:$D$84,Einzelzahlungen!$C$5:$C$84,"Versicherungen und Beiträge",Einzelzahlungen!$E$5:$E$84,"&gt;="&amp;C$5,Einzelzahlungen!$E$5:$E$84,"&lt;="&amp;((DATE(YEAR(Start!$B$13),MONTH(Start!$B$13)+2,1)-1)))</f>
        <v>0</v>
      </c>
      <c r="D23" s="29" t="n">
        <f aca="false">SUMIF(Zahlungen!$B$7:$B$46,"Versicherungen und Beiträge",Zahlungen!$W$7:$W$46)+SUMIFS(Einzelzahlungen!$D$5:$D$84,Einzelzahlungen!$C$5:$C$84,"Versicherungen und Beiträge",Einzelzahlungen!$E$5:$E$84,"&gt;="&amp;D$5,Einzelzahlungen!$E$5:$E$84,"&lt;="&amp;((DATE(YEAR(Start!$B$13),MONTH(Start!$B$13)+3,1)-1)))</f>
        <v>0</v>
      </c>
      <c r="E23" s="29" t="n">
        <f aca="false">SUMIF(Zahlungen!$B$7:$B$46,"Versicherungen und Beiträge",Zahlungen!$X$7:$X$46)+SUMIFS(Einzelzahlungen!$D$5:$D$84,Einzelzahlungen!$C$5:$C$84,"Versicherungen und Beiträge",Einzelzahlungen!$E$5:$E$84,"&gt;="&amp;E$5,Einzelzahlungen!$E$5:$E$84,"&lt;="&amp;((DATE(YEAR(Start!$B$13),MONTH(Start!$B$13)+4,1)-1)))</f>
        <v>0</v>
      </c>
      <c r="F23" s="29" t="n">
        <f aca="false">SUMIF(Zahlungen!$B$7:$B$46,"Versicherungen und Beiträge",Zahlungen!$Y$7:$Y$46)+SUMIFS(Einzelzahlungen!$D$5:$D$84,Einzelzahlungen!$C$5:$C$84,"Versicherungen und Beiträge",Einzelzahlungen!$E$5:$E$84,"&gt;="&amp;F$5,Einzelzahlungen!$E$5:$E$84,"&lt;="&amp;((DATE(YEAR(Start!$B$13),MONTH(Start!$B$13)+5,1)-1)))</f>
        <v>0</v>
      </c>
      <c r="G23" s="29" t="n">
        <f aca="false">SUMIF(Zahlungen!$B$7:$B$46,"Versicherungen und Beiträge",Zahlungen!$Z$7:$Z$46)+SUMIFS(Einzelzahlungen!$D$5:$D$84,Einzelzahlungen!$C$5:$C$84,"Versicherungen und Beiträge",Einzelzahlungen!$E$5:$E$84,"&gt;="&amp;G$5,Einzelzahlungen!$E$5:$E$84,"&lt;="&amp;((DATE(YEAR(Start!$B$13),MONTH(Start!$B$13)+6,1)-1)))</f>
        <v>0</v>
      </c>
      <c r="H23" s="29" t="n">
        <f aca="false">SUMIF(Zahlungen!$B$7:$B$46,"Versicherungen und Beiträge",Zahlungen!$AA$7:$AA$46)+SUMIFS(Einzelzahlungen!$D$5:$D$84,Einzelzahlungen!$C$5:$C$84,"Versicherungen und Beiträge",Einzelzahlungen!$E$5:$E$84,"&gt;="&amp;H$5,Einzelzahlungen!$E$5:$E$84,"&lt;="&amp;((DATE(YEAR(Start!$B$13),MONTH(Start!$B$13)+7,1)-1)))</f>
        <v>0</v>
      </c>
      <c r="I23" s="29" t="n">
        <f aca="false">SUMIF(Zahlungen!$B$7:$B$46,"Versicherungen und Beiträge",Zahlungen!$AB$7:$AB$46)+SUMIFS(Einzelzahlungen!$D$5:$D$84,Einzelzahlungen!$C$5:$C$84,"Versicherungen und Beiträge",Einzelzahlungen!$E$5:$E$84,"&gt;="&amp;I$5,Einzelzahlungen!$E$5:$E$84,"&lt;="&amp;((DATE(YEAR(Start!$B$13),MONTH(Start!$B$13)+8,1)-1)))</f>
        <v>0</v>
      </c>
      <c r="J23" s="29" t="n">
        <f aca="false">SUMIF(Zahlungen!$B$7:$B$46,"Versicherungen und Beiträge",Zahlungen!$AC$7:$AC$46)+SUMIFS(Einzelzahlungen!$D$5:$D$84,Einzelzahlungen!$C$5:$C$84,"Versicherungen und Beiträge",Einzelzahlungen!$E$5:$E$84,"&gt;="&amp;J$5,Einzelzahlungen!$E$5:$E$84,"&lt;="&amp;((DATE(YEAR(Start!$B$13),MONTH(Start!$B$13)+9,1)-1)))</f>
        <v>0</v>
      </c>
      <c r="K23" s="29" t="n">
        <f aca="false">SUMIF(Zahlungen!$B$7:$B$46,"Versicherungen und Beiträge",Zahlungen!$AD$7:$AD$46)+SUMIFS(Einzelzahlungen!$D$5:$D$84,Einzelzahlungen!$C$5:$C$84,"Versicherungen und Beiträge",Einzelzahlungen!$E$5:$E$84,"&gt;="&amp;K$5,Einzelzahlungen!$E$5:$E$84,"&lt;="&amp;((DATE(YEAR(Start!$B$13),MONTH(Start!$B$13)+10,1)-1)))</f>
        <v>0</v>
      </c>
      <c r="L23" s="29" t="n">
        <f aca="false">SUMIF(Zahlungen!$B$7:$B$46,"Versicherungen und Beiträge",Zahlungen!$AE$7:$AE$46)+SUMIFS(Einzelzahlungen!$D$5:$D$84,Einzelzahlungen!$C$5:$C$84,"Versicherungen und Beiträge",Einzelzahlungen!$E$5:$E$84,"&gt;="&amp;L$5,Einzelzahlungen!$E$5:$E$84,"&lt;="&amp;((DATE(YEAR(Start!$B$13),MONTH(Start!$B$13)+11,1)-1)))</f>
        <v>0</v>
      </c>
      <c r="M23" s="29" t="n">
        <f aca="false">SUMIF(Zahlungen!$B$7:$B$46,"Versicherungen und Beiträge",Zahlungen!$AF$7:$AF$46)+SUMIFS(Einzelzahlungen!$D$5:$D$84,Einzelzahlungen!$C$5:$C$84,"Versicherungen und Beiträge",Einzelzahlungen!$E$5:$E$84,"&gt;="&amp;M$5,Einzelzahlungen!$E$5:$E$84,"&lt;="&amp;((DATE(YEAR(Start!$B$13),MONTH(Start!$B$13)+12,1)-1)))</f>
        <v>0</v>
      </c>
      <c r="N23" s="30" t="n">
        <f aca="false">SUM(B23:M23)</f>
        <v>0</v>
      </c>
    </row>
    <row r="24" customFormat="false" ht="15" hidden="false" customHeight="false" outlineLevel="0" collapsed="false">
      <c r="A24" s="4" t="s">
        <v>93</v>
      </c>
      <c r="B24" s="29" t="n">
        <f aca="false">SUMIF(Zahlungen!$B$7:$B$46,"Büro, Software, Telefon",Zahlungen!$U$7:$U$46)+SUMIFS(Einzelzahlungen!$D$5:$D$84,Einzelzahlungen!$C$5:$C$84,"Büro, Software, Telefon",Einzelzahlungen!$E$5:$E$84,"&gt;="&amp;B$5,Einzelzahlungen!$E$5:$E$84,"&lt;="&amp;((DATE(YEAR(Start!$B$13),MONTH(Start!$B$13)+1,1)-1)))</f>
        <v>0</v>
      </c>
      <c r="C24" s="29" t="n">
        <f aca="false">SUMIF(Zahlungen!$B$7:$B$46,"Büro, Software, Telefon",Zahlungen!$V$7:$V$46)+SUMIFS(Einzelzahlungen!$D$5:$D$84,Einzelzahlungen!$C$5:$C$84,"Büro, Software, Telefon",Einzelzahlungen!$E$5:$E$84,"&gt;="&amp;C$5,Einzelzahlungen!$E$5:$E$84,"&lt;="&amp;((DATE(YEAR(Start!$B$13),MONTH(Start!$B$13)+2,1)-1)))</f>
        <v>0</v>
      </c>
      <c r="D24" s="29" t="n">
        <f aca="false">SUMIF(Zahlungen!$B$7:$B$46,"Büro, Software, Telefon",Zahlungen!$W$7:$W$46)+SUMIFS(Einzelzahlungen!$D$5:$D$84,Einzelzahlungen!$C$5:$C$84,"Büro, Software, Telefon",Einzelzahlungen!$E$5:$E$84,"&gt;="&amp;D$5,Einzelzahlungen!$E$5:$E$84,"&lt;="&amp;((DATE(YEAR(Start!$B$13),MONTH(Start!$B$13)+3,1)-1)))</f>
        <v>0</v>
      </c>
      <c r="E24" s="29" t="n">
        <f aca="false">SUMIF(Zahlungen!$B$7:$B$46,"Büro, Software, Telefon",Zahlungen!$X$7:$X$46)+SUMIFS(Einzelzahlungen!$D$5:$D$84,Einzelzahlungen!$C$5:$C$84,"Büro, Software, Telefon",Einzelzahlungen!$E$5:$E$84,"&gt;="&amp;E$5,Einzelzahlungen!$E$5:$E$84,"&lt;="&amp;((DATE(YEAR(Start!$B$13),MONTH(Start!$B$13)+4,1)-1)))</f>
        <v>0</v>
      </c>
      <c r="F24" s="29" t="n">
        <f aca="false">SUMIF(Zahlungen!$B$7:$B$46,"Büro, Software, Telefon",Zahlungen!$Y$7:$Y$46)+SUMIFS(Einzelzahlungen!$D$5:$D$84,Einzelzahlungen!$C$5:$C$84,"Büro, Software, Telefon",Einzelzahlungen!$E$5:$E$84,"&gt;="&amp;F$5,Einzelzahlungen!$E$5:$E$84,"&lt;="&amp;((DATE(YEAR(Start!$B$13),MONTH(Start!$B$13)+5,1)-1)))</f>
        <v>0</v>
      </c>
      <c r="G24" s="29" t="n">
        <f aca="false">SUMIF(Zahlungen!$B$7:$B$46,"Büro, Software, Telefon",Zahlungen!$Z$7:$Z$46)+SUMIFS(Einzelzahlungen!$D$5:$D$84,Einzelzahlungen!$C$5:$C$84,"Büro, Software, Telefon",Einzelzahlungen!$E$5:$E$84,"&gt;="&amp;G$5,Einzelzahlungen!$E$5:$E$84,"&lt;="&amp;((DATE(YEAR(Start!$B$13),MONTH(Start!$B$13)+6,1)-1)))</f>
        <v>0</v>
      </c>
      <c r="H24" s="29" t="n">
        <f aca="false">SUMIF(Zahlungen!$B$7:$B$46,"Büro, Software, Telefon",Zahlungen!$AA$7:$AA$46)+SUMIFS(Einzelzahlungen!$D$5:$D$84,Einzelzahlungen!$C$5:$C$84,"Büro, Software, Telefon",Einzelzahlungen!$E$5:$E$84,"&gt;="&amp;H$5,Einzelzahlungen!$E$5:$E$84,"&lt;="&amp;((DATE(YEAR(Start!$B$13),MONTH(Start!$B$13)+7,1)-1)))</f>
        <v>0</v>
      </c>
      <c r="I24" s="29" t="n">
        <f aca="false">SUMIF(Zahlungen!$B$7:$B$46,"Büro, Software, Telefon",Zahlungen!$AB$7:$AB$46)+SUMIFS(Einzelzahlungen!$D$5:$D$84,Einzelzahlungen!$C$5:$C$84,"Büro, Software, Telefon",Einzelzahlungen!$E$5:$E$84,"&gt;="&amp;I$5,Einzelzahlungen!$E$5:$E$84,"&lt;="&amp;((DATE(YEAR(Start!$B$13),MONTH(Start!$B$13)+8,1)-1)))</f>
        <v>0</v>
      </c>
      <c r="J24" s="29" t="n">
        <f aca="false">SUMIF(Zahlungen!$B$7:$B$46,"Büro, Software, Telefon",Zahlungen!$AC$7:$AC$46)+SUMIFS(Einzelzahlungen!$D$5:$D$84,Einzelzahlungen!$C$5:$C$84,"Büro, Software, Telefon",Einzelzahlungen!$E$5:$E$84,"&gt;="&amp;J$5,Einzelzahlungen!$E$5:$E$84,"&lt;="&amp;((DATE(YEAR(Start!$B$13),MONTH(Start!$B$13)+9,1)-1)))</f>
        <v>0</v>
      </c>
      <c r="K24" s="29" t="n">
        <f aca="false">SUMIF(Zahlungen!$B$7:$B$46,"Büro, Software, Telefon",Zahlungen!$AD$7:$AD$46)+SUMIFS(Einzelzahlungen!$D$5:$D$84,Einzelzahlungen!$C$5:$C$84,"Büro, Software, Telefon",Einzelzahlungen!$E$5:$E$84,"&gt;="&amp;K$5,Einzelzahlungen!$E$5:$E$84,"&lt;="&amp;((DATE(YEAR(Start!$B$13),MONTH(Start!$B$13)+10,1)-1)))</f>
        <v>0</v>
      </c>
      <c r="L24" s="29" t="n">
        <f aca="false">SUMIF(Zahlungen!$B$7:$B$46,"Büro, Software, Telefon",Zahlungen!$AE$7:$AE$46)+SUMIFS(Einzelzahlungen!$D$5:$D$84,Einzelzahlungen!$C$5:$C$84,"Büro, Software, Telefon",Einzelzahlungen!$E$5:$E$84,"&gt;="&amp;L$5,Einzelzahlungen!$E$5:$E$84,"&lt;="&amp;((DATE(YEAR(Start!$B$13),MONTH(Start!$B$13)+11,1)-1)))</f>
        <v>0</v>
      </c>
      <c r="M24" s="29" t="n">
        <f aca="false">SUMIF(Zahlungen!$B$7:$B$46,"Büro, Software, Telefon",Zahlungen!$AF$7:$AF$46)+SUMIFS(Einzelzahlungen!$D$5:$D$84,Einzelzahlungen!$C$5:$C$84,"Büro, Software, Telefon",Einzelzahlungen!$E$5:$E$84,"&gt;="&amp;M$5,Einzelzahlungen!$E$5:$E$84,"&lt;="&amp;((DATE(YEAR(Start!$B$13),MONTH(Start!$B$13)+12,1)-1)))</f>
        <v>0</v>
      </c>
      <c r="N24" s="30" t="n">
        <f aca="false">SUM(B24:M24)</f>
        <v>0</v>
      </c>
    </row>
    <row r="25" customFormat="false" ht="15" hidden="false" customHeight="false" outlineLevel="0" collapsed="false">
      <c r="A25" s="4" t="s">
        <v>94</v>
      </c>
      <c r="B25" s="29" t="n">
        <f aca="false">SUMIF(Zahlungen!$B$7:$B$46,"Steuerbüro und Beratung",Zahlungen!$U$7:$U$46)+SUMIFS(Einzelzahlungen!$D$5:$D$84,Einzelzahlungen!$C$5:$C$84,"Steuerbüro und Beratung",Einzelzahlungen!$E$5:$E$84,"&gt;="&amp;B$5,Einzelzahlungen!$E$5:$E$84,"&lt;="&amp;((DATE(YEAR(Start!$B$13),MONTH(Start!$B$13)+1,1)-1)))</f>
        <v>0</v>
      </c>
      <c r="C25" s="29" t="n">
        <f aca="false">SUMIF(Zahlungen!$B$7:$B$46,"Steuerbüro und Beratung",Zahlungen!$V$7:$V$46)+SUMIFS(Einzelzahlungen!$D$5:$D$84,Einzelzahlungen!$C$5:$C$84,"Steuerbüro und Beratung",Einzelzahlungen!$E$5:$E$84,"&gt;="&amp;C$5,Einzelzahlungen!$E$5:$E$84,"&lt;="&amp;((DATE(YEAR(Start!$B$13),MONTH(Start!$B$13)+2,1)-1)))</f>
        <v>0</v>
      </c>
      <c r="D25" s="29" t="n">
        <f aca="false">SUMIF(Zahlungen!$B$7:$B$46,"Steuerbüro und Beratung",Zahlungen!$W$7:$W$46)+SUMIFS(Einzelzahlungen!$D$5:$D$84,Einzelzahlungen!$C$5:$C$84,"Steuerbüro und Beratung",Einzelzahlungen!$E$5:$E$84,"&gt;="&amp;D$5,Einzelzahlungen!$E$5:$E$84,"&lt;="&amp;((DATE(YEAR(Start!$B$13),MONTH(Start!$B$13)+3,1)-1)))</f>
        <v>0</v>
      </c>
      <c r="E25" s="29" t="n">
        <f aca="false">SUMIF(Zahlungen!$B$7:$B$46,"Steuerbüro und Beratung",Zahlungen!$X$7:$X$46)+SUMIFS(Einzelzahlungen!$D$5:$D$84,Einzelzahlungen!$C$5:$C$84,"Steuerbüro und Beratung",Einzelzahlungen!$E$5:$E$84,"&gt;="&amp;E$5,Einzelzahlungen!$E$5:$E$84,"&lt;="&amp;((DATE(YEAR(Start!$B$13),MONTH(Start!$B$13)+4,1)-1)))</f>
        <v>0</v>
      </c>
      <c r="F25" s="29" t="n">
        <f aca="false">SUMIF(Zahlungen!$B$7:$B$46,"Steuerbüro und Beratung",Zahlungen!$Y$7:$Y$46)+SUMIFS(Einzelzahlungen!$D$5:$D$84,Einzelzahlungen!$C$5:$C$84,"Steuerbüro und Beratung",Einzelzahlungen!$E$5:$E$84,"&gt;="&amp;F$5,Einzelzahlungen!$E$5:$E$84,"&lt;="&amp;((DATE(YEAR(Start!$B$13),MONTH(Start!$B$13)+5,1)-1)))</f>
        <v>0</v>
      </c>
      <c r="G25" s="29" t="n">
        <f aca="false">SUMIF(Zahlungen!$B$7:$B$46,"Steuerbüro und Beratung",Zahlungen!$Z$7:$Z$46)+SUMIFS(Einzelzahlungen!$D$5:$D$84,Einzelzahlungen!$C$5:$C$84,"Steuerbüro und Beratung",Einzelzahlungen!$E$5:$E$84,"&gt;="&amp;G$5,Einzelzahlungen!$E$5:$E$84,"&lt;="&amp;((DATE(YEAR(Start!$B$13),MONTH(Start!$B$13)+6,1)-1)))</f>
        <v>0</v>
      </c>
      <c r="H25" s="29" t="n">
        <f aca="false">SUMIF(Zahlungen!$B$7:$B$46,"Steuerbüro und Beratung",Zahlungen!$AA$7:$AA$46)+SUMIFS(Einzelzahlungen!$D$5:$D$84,Einzelzahlungen!$C$5:$C$84,"Steuerbüro und Beratung",Einzelzahlungen!$E$5:$E$84,"&gt;="&amp;H$5,Einzelzahlungen!$E$5:$E$84,"&lt;="&amp;((DATE(YEAR(Start!$B$13),MONTH(Start!$B$13)+7,1)-1)))</f>
        <v>0</v>
      </c>
      <c r="I25" s="29" t="n">
        <f aca="false">SUMIF(Zahlungen!$B$7:$B$46,"Steuerbüro und Beratung",Zahlungen!$AB$7:$AB$46)+SUMIFS(Einzelzahlungen!$D$5:$D$84,Einzelzahlungen!$C$5:$C$84,"Steuerbüro und Beratung",Einzelzahlungen!$E$5:$E$84,"&gt;="&amp;I$5,Einzelzahlungen!$E$5:$E$84,"&lt;="&amp;((DATE(YEAR(Start!$B$13),MONTH(Start!$B$13)+8,1)-1)))</f>
        <v>0</v>
      </c>
      <c r="J25" s="29" t="n">
        <f aca="false">SUMIF(Zahlungen!$B$7:$B$46,"Steuerbüro und Beratung",Zahlungen!$AC$7:$AC$46)+SUMIFS(Einzelzahlungen!$D$5:$D$84,Einzelzahlungen!$C$5:$C$84,"Steuerbüro und Beratung",Einzelzahlungen!$E$5:$E$84,"&gt;="&amp;J$5,Einzelzahlungen!$E$5:$E$84,"&lt;="&amp;((DATE(YEAR(Start!$B$13),MONTH(Start!$B$13)+9,1)-1)))</f>
        <v>0</v>
      </c>
      <c r="K25" s="29" t="n">
        <f aca="false">SUMIF(Zahlungen!$B$7:$B$46,"Steuerbüro und Beratung",Zahlungen!$AD$7:$AD$46)+SUMIFS(Einzelzahlungen!$D$5:$D$84,Einzelzahlungen!$C$5:$C$84,"Steuerbüro und Beratung",Einzelzahlungen!$E$5:$E$84,"&gt;="&amp;K$5,Einzelzahlungen!$E$5:$E$84,"&lt;="&amp;((DATE(YEAR(Start!$B$13),MONTH(Start!$B$13)+10,1)-1)))</f>
        <v>0</v>
      </c>
      <c r="L25" s="29" t="n">
        <f aca="false">SUMIF(Zahlungen!$B$7:$B$46,"Steuerbüro und Beratung",Zahlungen!$AE$7:$AE$46)+SUMIFS(Einzelzahlungen!$D$5:$D$84,Einzelzahlungen!$C$5:$C$84,"Steuerbüro und Beratung",Einzelzahlungen!$E$5:$E$84,"&gt;="&amp;L$5,Einzelzahlungen!$E$5:$E$84,"&lt;="&amp;((DATE(YEAR(Start!$B$13),MONTH(Start!$B$13)+11,1)-1)))</f>
        <v>0</v>
      </c>
      <c r="M25" s="29" t="n">
        <f aca="false">SUMIF(Zahlungen!$B$7:$B$46,"Steuerbüro und Beratung",Zahlungen!$AF$7:$AF$46)+SUMIFS(Einzelzahlungen!$D$5:$D$84,Einzelzahlungen!$C$5:$C$84,"Steuerbüro und Beratung",Einzelzahlungen!$E$5:$E$84,"&gt;="&amp;M$5,Einzelzahlungen!$E$5:$E$84,"&lt;="&amp;((DATE(YEAR(Start!$B$13),MONTH(Start!$B$13)+12,1)-1)))</f>
        <v>0</v>
      </c>
      <c r="N25" s="30" t="n">
        <f aca="false">SUM(B25:M25)</f>
        <v>0</v>
      </c>
    </row>
    <row r="26" customFormat="false" ht="15" hidden="false" customHeight="false" outlineLevel="0" collapsed="false">
      <c r="A26" s="4" t="s">
        <v>95</v>
      </c>
      <c r="B26" s="29" t="n">
        <f aca="false">SUMIF(Zahlungen!$B$7:$B$46,"Kreditraten (Zins und Tilgung)",Zahlungen!$U$7:$U$46)+SUMIFS(Einzelzahlungen!$D$5:$D$84,Einzelzahlungen!$C$5:$C$84,"Kreditraten (Zins und Tilgung)",Einzelzahlungen!$E$5:$E$84,"&gt;="&amp;B$5,Einzelzahlungen!$E$5:$E$84,"&lt;="&amp;((DATE(YEAR(Start!$B$13),MONTH(Start!$B$13)+1,1)-1)))</f>
        <v>0</v>
      </c>
      <c r="C26" s="29" t="n">
        <f aca="false">SUMIF(Zahlungen!$B$7:$B$46,"Kreditraten (Zins und Tilgung)",Zahlungen!$V$7:$V$46)+SUMIFS(Einzelzahlungen!$D$5:$D$84,Einzelzahlungen!$C$5:$C$84,"Kreditraten (Zins und Tilgung)",Einzelzahlungen!$E$5:$E$84,"&gt;="&amp;C$5,Einzelzahlungen!$E$5:$E$84,"&lt;="&amp;((DATE(YEAR(Start!$B$13),MONTH(Start!$B$13)+2,1)-1)))</f>
        <v>0</v>
      </c>
      <c r="D26" s="29" t="n">
        <f aca="false">SUMIF(Zahlungen!$B$7:$B$46,"Kreditraten (Zins und Tilgung)",Zahlungen!$W$7:$W$46)+SUMIFS(Einzelzahlungen!$D$5:$D$84,Einzelzahlungen!$C$5:$C$84,"Kreditraten (Zins und Tilgung)",Einzelzahlungen!$E$5:$E$84,"&gt;="&amp;D$5,Einzelzahlungen!$E$5:$E$84,"&lt;="&amp;((DATE(YEAR(Start!$B$13),MONTH(Start!$B$13)+3,1)-1)))</f>
        <v>0</v>
      </c>
      <c r="E26" s="29" t="n">
        <f aca="false">SUMIF(Zahlungen!$B$7:$B$46,"Kreditraten (Zins und Tilgung)",Zahlungen!$X$7:$X$46)+SUMIFS(Einzelzahlungen!$D$5:$D$84,Einzelzahlungen!$C$5:$C$84,"Kreditraten (Zins und Tilgung)",Einzelzahlungen!$E$5:$E$84,"&gt;="&amp;E$5,Einzelzahlungen!$E$5:$E$84,"&lt;="&amp;((DATE(YEAR(Start!$B$13),MONTH(Start!$B$13)+4,1)-1)))</f>
        <v>0</v>
      </c>
      <c r="F26" s="29" t="n">
        <f aca="false">SUMIF(Zahlungen!$B$7:$B$46,"Kreditraten (Zins und Tilgung)",Zahlungen!$Y$7:$Y$46)+SUMIFS(Einzelzahlungen!$D$5:$D$84,Einzelzahlungen!$C$5:$C$84,"Kreditraten (Zins und Tilgung)",Einzelzahlungen!$E$5:$E$84,"&gt;="&amp;F$5,Einzelzahlungen!$E$5:$E$84,"&lt;="&amp;((DATE(YEAR(Start!$B$13),MONTH(Start!$B$13)+5,1)-1)))</f>
        <v>0</v>
      </c>
      <c r="G26" s="29" t="n">
        <f aca="false">SUMIF(Zahlungen!$B$7:$B$46,"Kreditraten (Zins und Tilgung)",Zahlungen!$Z$7:$Z$46)+SUMIFS(Einzelzahlungen!$D$5:$D$84,Einzelzahlungen!$C$5:$C$84,"Kreditraten (Zins und Tilgung)",Einzelzahlungen!$E$5:$E$84,"&gt;="&amp;G$5,Einzelzahlungen!$E$5:$E$84,"&lt;="&amp;((DATE(YEAR(Start!$B$13),MONTH(Start!$B$13)+6,1)-1)))</f>
        <v>0</v>
      </c>
      <c r="H26" s="29" t="n">
        <f aca="false">SUMIF(Zahlungen!$B$7:$B$46,"Kreditraten (Zins und Tilgung)",Zahlungen!$AA$7:$AA$46)+SUMIFS(Einzelzahlungen!$D$5:$D$84,Einzelzahlungen!$C$5:$C$84,"Kreditraten (Zins und Tilgung)",Einzelzahlungen!$E$5:$E$84,"&gt;="&amp;H$5,Einzelzahlungen!$E$5:$E$84,"&lt;="&amp;((DATE(YEAR(Start!$B$13),MONTH(Start!$B$13)+7,1)-1)))</f>
        <v>0</v>
      </c>
      <c r="I26" s="29" t="n">
        <f aca="false">SUMIF(Zahlungen!$B$7:$B$46,"Kreditraten (Zins und Tilgung)",Zahlungen!$AB$7:$AB$46)+SUMIFS(Einzelzahlungen!$D$5:$D$84,Einzelzahlungen!$C$5:$C$84,"Kreditraten (Zins und Tilgung)",Einzelzahlungen!$E$5:$E$84,"&gt;="&amp;I$5,Einzelzahlungen!$E$5:$E$84,"&lt;="&amp;((DATE(YEAR(Start!$B$13),MONTH(Start!$B$13)+8,1)-1)))</f>
        <v>0</v>
      </c>
      <c r="J26" s="29" t="n">
        <f aca="false">SUMIF(Zahlungen!$B$7:$B$46,"Kreditraten (Zins und Tilgung)",Zahlungen!$AC$7:$AC$46)+SUMIFS(Einzelzahlungen!$D$5:$D$84,Einzelzahlungen!$C$5:$C$84,"Kreditraten (Zins und Tilgung)",Einzelzahlungen!$E$5:$E$84,"&gt;="&amp;J$5,Einzelzahlungen!$E$5:$E$84,"&lt;="&amp;((DATE(YEAR(Start!$B$13),MONTH(Start!$B$13)+9,1)-1)))</f>
        <v>0</v>
      </c>
      <c r="K26" s="29" t="n">
        <f aca="false">SUMIF(Zahlungen!$B$7:$B$46,"Kreditraten (Zins und Tilgung)",Zahlungen!$AD$7:$AD$46)+SUMIFS(Einzelzahlungen!$D$5:$D$84,Einzelzahlungen!$C$5:$C$84,"Kreditraten (Zins und Tilgung)",Einzelzahlungen!$E$5:$E$84,"&gt;="&amp;K$5,Einzelzahlungen!$E$5:$E$84,"&lt;="&amp;((DATE(YEAR(Start!$B$13),MONTH(Start!$B$13)+10,1)-1)))</f>
        <v>0</v>
      </c>
      <c r="L26" s="29" t="n">
        <f aca="false">SUMIF(Zahlungen!$B$7:$B$46,"Kreditraten (Zins und Tilgung)",Zahlungen!$AE$7:$AE$46)+SUMIFS(Einzelzahlungen!$D$5:$D$84,Einzelzahlungen!$C$5:$C$84,"Kreditraten (Zins und Tilgung)",Einzelzahlungen!$E$5:$E$84,"&gt;="&amp;L$5,Einzelzahlungen!$E$5:$E$84,"&lt;="&amp;((DATE(YEAR(Start!$B$13),MONTH(Start!$B$13)+11,1)-1)))</f>
        <v>0</v>
      </c>
      <c r="M26" s="29" t="n">
        <f aca="false">SUMIF(Zahlungen!$B$7:$B$46,"Kreditraten (Zins und Tilgung)",Zahlungen!$AF$7:$AF$46)+SUMIFS(Einzelzahlungen!$D$5:$D$84,Einzelzahlungen!$C$5:$C$84,"Kreditraten (Zins und Tilgung)",Einzelzahlungen!$E$5:$E$84,"&gt;="&amp;M$5,Einzelzahlungen!$E$5:$E$84,"&lt;="&amp;((DATE(YEAR(Start!$B$13),MONTH(Start!$B$13)+12,1)-1)))</f>
        <v>0</v>
      </c>
      <c r="N26" s="30" t="n">
        <f aca="false">SUM(B26:M26)</f>
        <v>0</v>
      </c>
    </row>
    <row r="27" customFormat="false" ht="15" hidden="false" customHeight="false" outlineLevel="0" collapsed="false">
      <c r="A27" s="4" t="s">
        <v>96</v>
      </c>
      <c r="B27" s="29" t="n">
        <f aca="false">SUMIF(Zahlungen!$B$7:$B$46,"Investitionen und Anschaffungen",Zahlungen!$U$7:$U$46)+SUMIFS(Einzelzahlungen!$D$5:$D$84,Einzelzahlungen!$C$5:$C$84,"Investitionen und Anschaffungen",Einzelzahlungen!$E$5:$E$84,"&gt;="&amp;B$5,Einzelzahlungen!$E$5:$E$84,"&lt;="&amp;((DATE(YEAR(Start!$B$13),MONTH(Start!$B$13)+1,1)-1)))</f>
        <v>0</v>
      </c>
      <c r="C27" s="29" t="n">
        <f aca="false">SUMIF(Zahlungen!$B$7:$B$46,"Investitionen und Anschaffungen",Zahlungen!$V$7:$V$46)+SUMIFS(Einzelzahlungen!$D$5:$D$84,Einzelzahlungen!$C$5:$C$84,"Investitionen und Anschaffungen",Einzelzahlungen!$E$5:$E$84,"&gt;="&amp;C$5,Einzelzahlungen!$E$5:$E$84,"&lt;="&amp;((DATE(YEAR(Start!$B$13),MONTH(Start!$B$13)+2,1)-1)))</f>
        <v>0</v>
      </c>
      <c r="D27" s="29" t="n">
        <f aca="false">SUMIF(Zahlungen!$B$7:$B$46,"Investitionen und Anschaffungen",Zahlungen!$W$7:$W$46)+SUMIFS(Einzelzahlungen!$D$5:$D$84,Einzelzahlungen!$C$5:$C$84,"Investitionen und Anschaffungen",Einzelzahlungen!$E$5:$E$84,"&gt;="&amp;D$5,Einzelzahlungen!$E$5:$E$84,"&lt;="&amp;((DATE(YEAR(Start!$B$13),MONTH(Start!$B$13)+3,1)-1)))</f>
        <v>0</v>
      </c>
      <c r="E27" s="29" t="n">
        <f aca="false">SUMIF(Zahlungen!$B$7:$B$46,"Investitionen und Anschaffungen",Zahlungen!$X$7:$X$46)+SUMIFS(Einzelzahlungen!$D$5:$D$84,Einzelzahlungen!$C$5:$C$84,"Investitionen und Anschaffungen",Einzelzahlungen!$E$5:$E$84,"&gt;="&amp;E$5,Einzelzahlungen!$E$5:$E$84,"&lt;="&amp;((DATE(YEAR(Start!$B$13),MONTH(Start!$B$13)+4,1)-1)))</f>
        <v>0</v>
      </c>
      <c r="F27" s="29" t="n">
        <f aca="false">SUMIF(Zahlungen!$B$7:$B$46,"Investitionen und Anschaffungen",Zahlungen!$Y$7:$Y$46)+SUMIFS(Einzelzahlungen!$D$5:$D$84,Einzelzahlungen!$C$5:$C$84,"Investitionen und Anschaffungen",Einzelzahlungen!$E$5:$E$84,"&gt;="&amp;F$5,Einzelzahlungen!$E$5:$E$84,"&lt;="&amp;((DATE(YEAR(Start!$B$13),MONTH(Start!$B$13)+5,1)-1)))</f>
        <v>0</v>
      </c>
      <c r="G27" s="29" t="n">
        <f aca="false">SUMIF(Zahlungen!$B$7:$B$46,"Investitionen und Anschaffungen",Zahlungen!$Z$7:$Z$46)+SUMIFS(Einzelzahlungen!$D$5:$D$84,Einzelzahlungen!$C$5:$C$84,"Investitionen und Anschaffungen",Einzelzahlungen!$E$5:$E$84,"&gt;="&amp;G$5,Einzelzahlungen!$E$5:$E$84,"&lt;="&amp;((DATE(YEAR(Start!$B$13),MONTH(Start!$B$13)+6,1)-1)))</f>
        <v>0</v>
      </c>
      <c r="H27" s="29" t="n">
        <f aca="false">SUMIF(Zahlungen!$B$7:$B$46,"Investitionen und Anschaffungen",Zahlungen!$AA$7:$AA$46)+SUMIFS(Einzelzahlungen!$D$5:$D$84,Einzelzahlungen!$C$5:$C$84,"Investitionen und Anschaffungen",Einzelzahlungen!$E$5:$E$84,"&gt;="&amp;H$5,Einzelzahlungen!$E$5:$E$84,"&lt;="&amp;((DATE(YEAR(Start!$B$13),MONTH(Start!$B$13)+7,1)-1)))</f>
        <v>0</v>
      </c>
      <c r="I27" s="29" t="n">
        <f aca="false">SUMIF(Zahlungen!$B$7:$B$46,"Investitionen und Anschaffungen",Zahlungen!$AB$7:$AB$46)+SUMIFS(Einzelzahlungen!$D$5:$D$84,Einzelzahlungen!$C$5:$C$84,"Investitionen und Anschaffungen",Einzelzahlungen!$E$5:$E$84,"&gt;="&amp;I$5,Einzelzahlungen!$E$5:$E$84,"&lt;="&amp;((DATE(YEAR(Start!$B$13),MONTH(Start!$B$13)+8,1)-1)))</f>
        <v>0</v>
      </c>
      <c r="J27" s="29" t="n">
        <f aca="false">SUMIF(Zahlungen!$B$7:$B$46,"Investitionen und Anschaffungen",Zahlungen!$AC$7:$AC$46)+SUMIFS(Einzelzahlungen!$D$5:$D$84,Einzelzahlungen!$C$5:$C$84,"Investitionen und Anschaffungen",Einzelzahlungen!$E$5:$E$84,"&gt;="&amp;J$5,Einzelzahlungen!$E$5:$E$84,"&lt;="&amp;((DATE(YEAR(Start!$B$13),MONTH(Start!$B$13)+9,1)-1)))</f>
        <v>0</v>
      </c>
      <c r="K27" s="29" t="n">
        <f aca="false">SUMIF(Zahlungen!$B$7:$B$46,"Investitionen und Anschaffungen",Zahlungen!$AD$7:$AD$46)+SUMIFS(Einzelzahlungen!$D$5:$D$84,Einzelzahlungen!$C$5:$C$84,"Investitionen und Anschaffungen",Einzelzahlungen!$E$5:$E$84,"&gt;="&amp;K$5,Einzelzahlungen!$E$5:$E$84,"&lt;="&amp;((DATE(YEAR(Start!$B$13),MONTH(Start!$B$13)+10,1)-1)))</f>
        <v>0</v>
      </c>
      <c r="L27" s="29" t="n">
        <f aca="false">SUMIF(Zahlungen!$B$7:$B$46,"Investitionen und Anschaffungen",Zahlungen!$AE$7:$AE$46)+SUMIFS(Einzelzahlungen!$D$5:$D$84,Einzelzahlungen!$C$5:$C$84,"Investitionen und Anschaffungen",Einzelzahlungen!$E$5:$E$84,"&gt;="&amp;L$5,Einzelzahlungen!$E$5:$E$84,"&lt;="&amp;((DATE(YEAR(Start!$B$13),MONTH(Start!$B$13)+11,1)-1)))</f>
        <v>0</v>
      </c>
      <c r="M27" s="29" t="n">
        <f aca="false">SUMIF(Zahlungen!$B$7:$B$46,"Investitionen und Anschaffungen",Zahlungen!$AF$7:$AF$46)+SUMIFS(Einzelzahlungen!$D$5:$D$84,Einzelzahlungen!$C$5:$C$84,"Investitionen und Anschaffungen",Einzelzahlungen!$E$5:$E$84,"&gt;="&amp;M$5,Einzelzahlungen!$E$5:$E$84,"&lt;="&amp;((DATE(YEAR(Start!$B$13),MONTH(Start!$B$13)+12,1)-1)))</f>
        <v>0</v>
      </c>
      <c r="N27" s="30" t="n">
        <f aca="false">SUM(B27:M27)</f>
        <v>0</v>
      </c>
    </row>
    <row r="28" customFormat="false" ht="15" hidden="false" customHeight="false" outlineLevel="0" collapsed="false">
      <c r="A28" s="4" t="s">
        <v>97</v>
      </c>
      <c r="B28" s="29" t="n">
        <f aca="false">SUMIF(Zahlungen!$B$7:$B$46,"Umsatzsteuer",Zahlungen!$U$7:$U$46)+SUMIFS(Einzelzahlungen!$D$5:$D$84,Einzelzahlungen!$C$5:$C$84,"Umsatzsteuer",Einzelzahlungen!$E$5:$E$84,"&gt;="&amp;B$5,Einzelzahlungen!$E$5:$E$84,"&lt;="&amp;((DATE(YEAR(Start!$B$13),MONTH(Start!$B$13)+1,1)-1)))</f>
        <v>0</v>
      </c>
      <c r="C28" s="29" t="n">
        <f aca="false">SUMIF(Zahlungen!$B$7:$B$46,"Umsatzsteuer",Zahlungen!$V$7:$V$46)+SUMIFS(Einzelzahlungen!$D$5:$D$84,Einzelzahlungen!$C$5:$C$84,"Umsatzsteuer",Einzelzahlungen!$E$5:$E$84,"&gt;="&amp;C$5,Einzelzahlungen!$E$5:$E$84,"&lt;="&amp;((DATE(YEAR(Start!$B$13),MONTH(Start!$B$13)+2,1)-1)))</f>
        <v>0</v>
      </c>
      <c r="D28" s="29" t="n">
        <f aca="false">SUMIF(Zahlungen!$B$7:$B$46,"Umsatzsteuer",Zahlungen!$W$7:$W$46)+SUMIFS(Einzelzahlungen!$D$5:$D$84,Einzelzahlungen!$C$5:$C$84,"Umsatzsteuer",Einzelzahlungen!$E$5:$E$84,"&gt;="&amp;D$5,Einzelzahlungen!$E$5:$E$84,"&lt;="&amp;((DATE(YEAR(Start!$B$13),MONTH(Start!$B$13)+3,1)-1)))</f>
        <v>0</v>
      </c>
      <c r="E28" s="29" t="n">
        <f aca="false">SUMIF(Zahlungen!$B$7:$B$46,"Umsatzsteuer",Zahlungen!$X$7:$X$46)+SUMIFS(Einzelzahlungen!$D$5:$D$84,Einzelzahlungen!$C$5:$C$84,"Umsatzsteuer",Einzelzahlungen!$E$5:$E$84,"&gt;="&amp;E$5,Einzelzahlungen!$E$5:$E$84,"&lt;="&amp;((DATE(YEAR(Start!$B$13),MONTH(Start!$B$13)+4,1)-1)))</f>
        <v>0</v>
      </c>
      <c r="F28" s="29" t="n">
        <f aca="false">SUMIF(Zahlungen!$B$7:$B$46,"Umsatzsteuer",Zahlungen!$Y$7:$Y$46)+SUMIFS(Einzelzahlungen!$D$5:$D$84,Einzelzahlungen!$C$5:$C$84,"Umsatzsteuer",Einzelzahlungen!$E$5:$E$84,"&gt;="&amp;F$5,Einzelzahlungen!$E$5:$E$84,"&lt;="&amp;((DATE(YEAR(Start!$B$13),MONTH(Start!$B$13)+5,1)-1)))</f>
        <v>0</v>
      </c>
      <c r="G28" s="29" t="n">
        <f aca="false">SUMIF(Zahlungen!$B$7:$B$46,"Umsatzsteuer",Zahlungen!$Z$7:$Z$46)+SUMIFS(Einzelzahlungen!$D$5:$D$84,Einzelzahlungen!$C$5:$C$84,"Umsatzsteuer",Einzelzahlungen!$E$5:$E$84,"&gt;="&amp;G$5,Einzelzahlungen!$E$5:$E$84,"&lt;="&amp;((DATE(YEAR(Start!$B$13),MONTH(Start!$B$13)+6,1)-1)))</f>
        <v>0</v>
      </c>
      <c r="H28" s="29" t="n">
        <f aca="false">SUMIF(Zahlungen!$B$7:$B$46,"Umsatzsteuer",Zahlungen!$AA$7:$AA$46)+SUMIFS(Einzelzahlungen!$D$5:$D$84,Einzelzahlungen!$C$5:$C$84,"Umsatzsteuer",Einzelzahlungen!$E$5:$E$84,"&gt;="&amp;H$5,Einzelzahlungen!$E$5:$E$84,"&lt;="&amp;((DATE(YEAR(Start!$B$13),MONTH(Start!$B$13)+7,1)-1)))</f>
        <v>0</v>
      </c>
      <c r="I28" s="29" t="n">
        <f aca="false">SUMIF(Zahlungen!$B$7:$B$46,"Umsatzsteuer",Zahlungen!$AB$7:$AB$46)+SUMIFS(Einzelzahlungen!$D$5:$D$84,Einzelzahlungen!$C$5:$C$84,"Umsatzsteuer",Einzelzahlungen!$E$5:$E$84,"&gt;="&amp;I$5,Einzelzahlungen!$E$5:$E$84,"&lt;="&amp;((DATE(YEAR(Start!$B$13),MONTH(Start!$B$13)+8,1)-1)))</f>
        <v>0</v>
      </c>
      <c r="J28" s="29" t="n">
        <f aca="false">SUMIF(Zahlungen!$B$7:$B$46,"Umsatzsteuer",Zahlungen!$AC$7:$AC$46)+SUMIFS(Einzelzahlungen!$D$5:$D$84,Einzelzahlungen!$C$5:$C$84,"Umsatzsteuer",Einzelzahlungen!$E$5:$E$84,"&gt;="&amp;J$5,Einzelzahlungen!$E$5:$E$84,"&lt;="&amp;((DATE(YEAR(Start!$B$13),MONTH(Start!$B$13)+9,1)-1)))</f>
        <v>0</v>
      </c>
      <c r="K28" s="29" t="n">
        <f aca="false">SUMIF(Zahlungen!$B$7:$B$46,"Umsatzsteuer",Zahlungen!$AD$7:$AD$46)+SUMIFS(Einzelzahlungen!$D$5:$D$84,Einzelzahlungen!$C$5:$C$84,"Umsatzsteuer",Einzelzahlungen!$E$5:$E$84,"&gt;="&amp;K$5,Einzelzahlungen!$E$5:$E$84,"&lt;="&amp;((DATE(YEAR(Start!$B$13),MONTH(Start!$B$13)+10,1)-1)))</f>
        <v>0</v>
      </c>
      <c r="L28" s="29" t="n">
        <f aca="false">SUMIF(Zahlungen!$B$7:$B$46,"Umsatzsteuer",Zahlungen!$AE$7:$AE$46)+SUMIFS(Einzelzahlungen!$D$5:$D$84,Einzelzahlungen!$C$5:$C$84,"Umsatzsteuer",Einzelzahlungen!$E$5:$E$84,"&gt;="&amp;L$5,Einzelzahlungen!$E$5:$E$84,"&lt;="&amp;((DATE(YEAR(Start!$B$13),MONTH(Start!$B$13)+11,1)-1)))</f>
        <v>0</v>
      </c>
      <c r="M28" s="29" t="n">
        <f aca="false">SUMIF(Zahlungen!$B$7:$B$46,"Umsatzsteuer",Zahlungen!$AF$7:$AF$46)+SUMIFS(Einzelzahlungen!$D$5:$D$84,Einzelzahlungen!$C$5:$C$84,"Umsatzsteuer",Einzelzahlungen!$E$5:$E$84,"&gt;="&amp;M$5,Einzelzahlungen!$E$5:$E$84,"&lt;="&amp;((DATE(YEAR(Start!$B$13),MONTH(Start!$B$13)+12,1)-1)))</f>
        <v>0</v>
      </c>
      <c r="N28" s="30" t="n">
        <f aca="false">SUM(B28:M28)</f>
        <v>0</v>
      </c>
    </row>
    <row r="29" customFormat="false" ht="15" hidden="false" customHeight="false" outlineLevel="0" collapsed="false">
      <c r="A29" s="4" t="s">
        <v>98</v>
      </c>
      <c r="B29" s="29" t="n">
        <f aca="false">SUMIF(Zahlungen!$B$7:$B$46,"Steuervorauszahlungen",Zahlungen!$U$7:$U$46)+SUMIFS(Einzelzahlungen!$D$5:$D$84,Einzelzahlungen!$C$5:$C$84,"Steuervorauszahlungen",Einzelzahlungen!$E$5:$E$84,"&gt;="&amp;B$5,Einzelzahlungen!$E$5:$E$84,"&lt;="&amp;((DATE(YEAR(Start!$B$13),MONTH(Start!$B$13)+1,1)-1)))</f>
        <v>0</v>
      </c>
      <c r="C29" s="29" t="n">
        <f aca="false">SUMIF(Zahlungen!$B$7:$B$46,"Steuervorauszahlungen",Zahlungen!$V$7:$V$46)+SUMIFS(Einzelzahlungen!$D$5:$D$84,Einzelzahlungen!$C$5:$C$84,"Steuervorauszahlungen",Einzelzahlungen!$E$5:$E$84,"&gt;="&amp;C$5,Einzelzahlungen!$E$5:$E$84,"&lt;="&amp;((DATE(YEAR(Start!$B$13),MONTH(Start!$B$13)+2,1)-1)))</f>
        <v>0</v>
      </c>
      <c r="D29" s="29" t="n">
        <f aca="false">SUMIF(Zahlungen!$B$7:$B$46,"Steuervorauszahlungen",Zahlungen!$W$7:$W$46)+SUMIFS(Einzelzahlungen!$D$5:$D$84,Einzelzahlungen!$C$5:$C$84,"Steuervorauszahlungen",Einzelzahlungen!$E$5:$E$84,"&gt;="&amp;D$5,Einzelzahlungen!$E$5:$E$84,"&lt;="&amp;((DATE(YEAR(Start!$B$13),MONTH(Start!$B$13)+3,1)-1)))</f>
        <v>0</v>
      </c>
      <c r="E29" s="29" t="n">
        <f aca="false">SUMIF(Zahlungen!$B$7:$B$46,"Steuervorauszahlungen",Zahlungen!$X$7:$X$46)+SUMIFS(Einzelzahlungen!$D$5:$D$84,Einzelzahlungen!$C$5:$C$84,"Steuervorauszahlungen",Einzelzahlungen!$E$5:$E$84,"&gt;="&amp;E$5,Einzelzahlungen!$E$5:$E$84,"&lt;="&amp;((DATE(YEAR(Start!$B$13),MONTH(Start!$B$13)+4,1)-1)))</f>
        <v>0</v>
      </c>
      <c r="F29" s="29" t="n">
        <f aca="false">SUMIF(Zahlungen!$B$7:$B$46,"Steuervorauszahlungen",Zahlungen!$Y$7:$Y$46)+SUMIFS(Einzelzahlungen!$D$5:$D$84,Einzelzahlungen!$C$5:$C$84,"Steuervorauszahlungen",Einzelzahlungen!$E$5:$E$84,"&gt;="&amp;F$5,Einzelzahlungen!$E$5:$E$84,"&lt;="&amp;((DATE(YEAR(Start!$B$13),MONTH(Start!$B$13)+5,1)-1)))</f>
        <v>0</v>
      </c>
      <c r="G29" s="29" t="n">
        <f aca="false">SUMIF(Zahlungen!$B$7:$B$46,"Steuervorauszahlungen",Zahlungen!$Z$7:$Z$46)+SUMIFS(Einzelzahlungen!$D$5:$D$84,Einzelzahlungen!$C$5:$C$84,"Steuervorauszahlungen",Einzelzahlungen!$E$5:$E$84,"&gt;="&amp;G$5,Einzelzahlungen!$E$5:$E$84,"&lt;="&amp;((DATE(YEAR(Start!$B$13),MONTH(Start!$B$13)+6,1)-1)))</f>
        <v>0</v>
      </c>
      <c r="H29" s="29" t="n">
        <f aca="false">SUMIF(Zahlungen!$B$7:$B$46,"Steuervorauszahlungen",Zahlungen!$AA$7:$AA$46)+SUMIFS(Einzelzahlungen!$D$5:$D$84,Einzelzahlungen!$C$5:$C$84,"Steuervorauszahlungen",Einzelzahlungen!$E$5:$E$84,"&gt;="&amp;H$5,Einzelzahlungen!$E$5:$E$84,"&lt;="&amp;((DATE(YEAR(Start!$B$13),MONTH(Start!$B$13)+7,1)-1)))</f>
        <v>0</v>
      </c>
      <c r="I29" s="29" t="n">
        <f aca="false">SUMIF(Zahlungen!$B$7:$B$46,"Steuervorauszahlungen",Zahlungen!$AB$7:$AB$46)+SUMIFS(Einzelzahlungen!$D$5:$D$84,Einzelzahlungen!$C$5:$C$84,"Steuervorauszahlungen",Einzelzahlungen!$E$5:$E$84,"&gt;="&amp;I$5,Einzelzahlungen!$E$5:$E$84,"&lt;="&amp;((DATE(YEAR(Start!$B$13),MONTH(Start!$B$13)+8,1)-1)))</f>
        <v>0</v>
      </c>
      <c r="J29" s="29" t="n">
        <f aca="false">SUMIF(Zahlungen!$B$7:$B$46,"Steuervorauszahlungen",Zahlungen!$AC$7:$AC$46)+SUMIFS(Einzelzahlungen!$D$5:$D$84,Einzelzahlungen!$C$5:$C$84,"Steuervorauszahlungen",Einzelzahlungen!$E$5:$E$84,"&gt;="&amp;J$5,Einzelzahlungen!$E$5:$E$84,"&lt;="&amp;((DATE(YEAR(Start!$B$13),MONTH(Start!$B$13)+9,1)-1)))</f>
        <v>0</v>
      </c>
      <c r="K29" s="29" t="n">
        <f aca="false">SUMIF(Zahlungen!$B$7:$B$46,"Steuervorauszahlungen",Zahlungen!$AD$7:$AD$46)+SUMIFS(Einzelzahlungen!$D$5:$D$84,Einzelzahlungen!$C$5:$C$84,"Steuervorauszahlungen",Einzelzahlungen!$E$5:$E$84,"&gt;="&amp;K$5,Einzelzahlungen!$E$5:$E$84,"&lt;="&amp;((DATE(YEAR(Start!$B$13),MONTH(Start!$B$13)+10,1)-1)))</f>
        <v>0</v>
      </c>
      <c r="L29" s="29" t="n">
        <f aca="false">SUMIF(Zahlungen!$B$7:$B$46,"Steuervorauszahlungen",Zahlungen!$AE$7:$AE$46)+SUMIFS(Einzelzahlungen!$D$5:$D$84,Einzelzahlungen!$C$5:$C$84,"Steuervorauszahlungen",Einzelzahlungen!$E$5:$E$84,"&gt;="&amp;L$5,Einzelzahlungen!$E$5:$E$84,"&lt;="&amp;((DATE(YEAR(Start!$B$13),MONTH(Start!$B$13)+11,1)-1)))</f>
        <v>0</v>
      </c>
      <c r="M29" s="29" t="n">
        <f aca="false">SUMIF(Zahlungen!$B$7:$B$46,"Steuervorauszahlungen",Zahlungen!$AF$7:$AF$46)+SUMIFS(Einzelzahlungen!$D$5:$D$84,Einzelzahlungen!$C$5:$C$84,"Steuervorauszahlungen",Einzelzahlungen!$E$5:$E$84,"&gt;="&amp;M$5,Einzelzahlungen!$E$5:$E$84,"&lt;="&amp;((DATE(YEAR(Start!$B$13),MONTH(Start!$B$13)+12,1)-1)))</f>
        <v>0</v>
      </c>
      <c r="N29" s="30" t="n">
        <f aca="false">SUM(B29:M29)</f>
        <v>0</v>
      </c>
    </row>
    <row r="30" customFormat="false" ht="15" hidden="false" customHeight="false" outlineLevel="0" collapsed="false">
      <c r="A30" s="4" t="s">
        <v>99</v>
      </c>
      <c r="B30" s="29" t="n">
        <f aca="false">SUMIF(Zahlungen!$B$7:$B$46,"Steuernachzahlungen",Zahlungen!$U$7:$U$46)+SUMIFS(Einzelzahlungen!$D$5:$D$84,Einzelzahlungen!$C$5:$C$84,"Steuernachzahlungen",Einzelzahlungen!$E$5:$E$84,"&gt;="&amp;B$5,Einzelzahlungen!$E$5:$E$84,"&lt;="&amp;((DATE(YEAR(Start!$B$13),MONTH(Start!$B$13)+1,1)-1)))</f>
        <v>0</v>
      </c>
      <c r="C30" s="29" t="n">
        <f aca="false">SUMIF(Zahlungen!$B$7:$B$46,"Steuernachzahlungen",Zahlungen!$V$7:$V$46)+SUMIFS(Einzelzahlungen!$D$5:$D$84,Einzelzahlungen!$C$5:$C$84,"Steuernachzahlungen",Einzelzahlungen!$E$5:$E$84,"&gt;="&amp;C$5,Einzelzahlungen!$E$5:$E$84,"&lt;="&amp;((DATE(YEAR(Start!$B$13),MONTH(Start!$B$13)+2,1)-1)))</f>
        <v>0</v>
      </c>
      <c r="D30" s="29" t="n">
        <f aca="false">SUMIF(Zahlungen!$B$7:$B$46,"Steuernachzahlungen",Zahlungen!$W$7:$W$46)+SUMIFS(Einzelzahlungen!$D$5:$D$84,Einzelzahlungen!$C$5:$C$84,"Steuernachzahlungen",Einzelzahlungen!$E$5:$E$84,"&gt;="&amp;D$5,Einzelzahlungen!$E$5:$E$84,"&lt;="&amp;((DATE(YEAR(Start!$B$13),MONTH(Start!$B$13)+3,1)-1)))</f>
        <v>0</v>
      </c>
      <c r="E30" s="29" t="n">
        <f aca="false">SUMIF(Zahlungen!$B$7:$B$46,"Steuernachzahlungen",Zahlungen!$X$7:$X$46)+SUMIFS(Einzelzahlungen!$D$5:$D$84,Einzelzahlungen!$C$5:$C$84,"Steuernachzahlungen",Einzelzahlungen!$E$5:$E$84,"&gt;="&amp;E$5,Einzelzahlungen!$E$5:$E$84,"&lt;="&amp;((DATE(YEAR(Start!$B$13),MONTH(Start!$B$13)+4,1)-1)))</f>
        <v>0</v>
      </c>
      <c r="F30" s="29" t="n">
        <f aca="false">SUMIF(Zahlungen!$B$7:$B$46,"Steuernachzahlungen",Zahlungen!$Y$7:$Y$46)+SUMIFS(Einzelzahlungen!$D$5:$D$84,Einzelzahlungen!$C$5:$C$84,"Steuernachzahlungen",Einzelzahlungen!$E$5:$E$84,"&gt;="&amp;F$5,Einzelzahlungen!$E$5:$E$84,"&lt;="&amp;((DATE(YEAR(Start!$B$13),MONTH(Start!$B$13)+5,1)-1)))</f>
        <v>0</v>
      </c>
      <c r="G30" s="29" t="n">
        <f aca="false">SUMIF(Zahlungen!$B$7:$B$46,"Steuernachzahlungen",Zahlungen!$Z$7:$Z$46)+SUMIFS(Einzelzahlungen!$D$5:$D$84,Einzelzahlungen!$C$5:$C$84,"Steuernachzahlungen",Einzelzahlungen!$E$5:$E$84,"&gt;="&amp;G$5,Einzelzahlungen!$E$5:$E$84,"&lt;="&amp;((DATE(YEAR(Start!$B$13),MONTH(Start!$B$13)+6,1)-1)))</f>
        <v>0</v>
      </c>
      <c r="H30" s="29" t="n">
        <f aca="false">SUMIF(Zahlungen!$B$7:$B$46,"Steuernachzahlungen",Zahlungen!$AA$7:$AA$46)+SUMIFS(Einzelzahlungen!$D$5:$D$84,Einzelzahlungen!$C$5:$C$84,"Steuernachzahlungen",Einzelzahlungen!$E$5:$E$84,"&gt;="&amp;H$5,Einzelzahlungen!$E$5:$E$84,"&lt;="&amp;((DATE(YEAR(Start!$B$13),MONTH(Start!$B$13)+7,1)-1)))</f>
        <v>0</v>
      </c>
      <c r="I30" s="29" t="n">
        <f aca="false">SUMIF(Zahlungen!$B$7:$B$46,"Steuernachzahlungen",Zahlungen!$AB$7:$AB$46)+SUMIFS(Einzelzahlungen!$D$5:$D$84,Einzelzahlungen!$C$5:$C$84,"Steuernachzahlungen",Einzelzahlungen!$E$5:$E$84,"&gt;="&amp;I$5,Einzelzahlungen!$E$5:$E$84,"&lt;="&amp;((DATE(YEAR(Start!$B$13),MONTH(Start!$B$13)+8,1)-1)))</f>
        <v>0</v>
      </c>
      <c r="J30" s="29" t="n">
        <f aca="false">SUMIF(Zahlungen!$B$7:$B$46,"Steuernachzahlungen",Zahlungen!$AC$7:$AC$46)+SUMIFS(Einzelzahlungen!$D$5:$D$84,Einzelzahlungen!$C$5:$C$84,"Steuernachzahlungen",Einzelzahlungen!$E$5:$E$84,"&gt;="&amp;J$5,Einzelzahlungen!$E$5:$E$84,"&lt;="&amp;((DATE(YEAR(Start!$B$13),MONTH(Start!$B$13)+9,1)-1)))</f>
        <v>0</v>
      </c>
      <c r="K30" s="29" t="n">
        <f aca="false">SUMIF(Zahlungen!$B$7:$B$46,"Steuernachzahlungen",Zahlungen!$AD$7:$AD$46)+SUMIFS(Einzelzahlungen!$D$5:$D$84,Einzelzahlungen!$C$5:$C$84,"Steuernachzahlungen",Einzelzahlungen!$E$5:$E$84,"&gt;="&amp;K$5,Einzelzahlungen!$E$5:$E$84,"&lt;="&amp;((DATE(YEAR(Start!$B$13),MONTH(Start!$B$13)+10,1)-1)))</f>
        <v>0</v>
      </c>
      <c r="L30" s="29" t="n">
        <f aca="false">SUMIF(Zahlungen!$B$7:$B$46,"Steuernachzahlungen",Zahlungen!$AE$7:$AE$46)+SUMIFS(Einzelzahlungen!$D$5:$D$84,Einzelzahlungen!$C$5:$C$84,"Steuernachzahlungen",Einzelzahlungen!$E$5:$E$84,"&gt;="&amp;L$5,Einzelzahlungen!$E$5:$E$84,"&lt;="&amp;((DATE(YEAR(Start!$B$13),MONTH(Start!$B$13)+11,1)-1)))</f>
        <v>0</v>
      </c>
      <c r="M30" s="29" t="n">
        <f aca="false">SUMIF(Zahlungen!$B$7:$B$46,"Steuernachzahlungen",Zahlungen!$AF$7:$AF$46)+SUMIFS(Einzelzahlungen!$D$5:$D$84,Einzelzahlungen!$C$5:$C$84,"Steuernachzahlungen",Einzelzahlungen!$E$5:$E$84,"&gt;="&amp;M$5,Einzelzahlungen!$E$5:$E$84,"&lt;="&amp;((DATE(YEAR(Start!$B$13),MONTH(Start!$B$13)+12,1)-1)))</f>
        <v>0</v>
      </c>
      <c r="N30" s="30" t="n">
        <f aca="false">SUM(B30:M30)</f>
        <v>0</v>
      </c>
    </row>
    <row r="31" customFormat="false" ht="15" hidden="false" customHeight="false" outlineLevel="0" collapsed="false">
      <c r="A31" s="4" t="s">
        <v>100</v>
      </c>
      <c r="B31" s="29" t="n">
        <f aca="false">SUMIF(Zahlungen!$B$7:$B$46,"Privatentnahmen",Zahlungen!$U$7:$U$46)+SUMIFS(Einzelzahlungen!$D$5:$D$84,Einzelzahlungen!$C$5:$C$84,"Privatentnahmen",Einzelzahlungen!$E$5:$E$84,"&gt;="&amp;B$5,Einzelzahlungen!$E$5:$E$84,"&lt;="&amp;((DATE(YEAR(Start!$B$13),MONTH(Start!$B$13)+1,1)-1)))</f>
        <v>0</v>
      </c>
      <c r="C31" s="29" t="n">
        <f aca="false">SUMIF(Zahlungen!$B$7:$B$46,"Privatentnahmen",Zahlungen!$V$7:$V$46)+SUMIFS(Einzelzahlungen!$D$5:$D$84,Einzelzahlungen!$C$5:$C$84,"Privatentnahmen",Einzelzahlungen!$E$5:$E$84,"&gt;="&amp;C$5,Einzelzahlungen!$E$5:$E$84,"&lt;="&amp;((DATE(YEAR(Start!$B$13),MONTH(Start!$B$13)+2,1)-1)))</f>
        <v>0</v>
      </c>
      <c r="D31" s="29" t="n">
        <f aca="false">SUMIF(Zahlungen!$B$7:$B$46,"Privatentnahmen",Zahlungen!$W$7:$W$46)+SUMIFS(Einzelzahlungen!$D$5:$D$84,Einzelzahlungen!$C$5:$C$84,"Privatentnahmen",Einzelzahlungen!$E$5:$E$84,"&gt;="&amp;D$5,Einzelzahlungen!$E$5:$E$84,"&lt;="&amp;((DATE(YEAR(Start!$B$13),MONTH(Start!$B$13)+3,1)-1)))</f>
        <v>0</v>
      </c>
      <c r="E31" s="29" t="n">
        <f aca="false">SUMIF(Zahlungen!$B$7:$B$46,"Privatentnahmen",Zahlungen!$X$7:$X$46)+SUMIFS(Einzelzahlungen!$D$5:$D$84,Einzelzahlungen!$C$5:$C$84,"Privatentnahmen",Einzelzahlungen!$E$5:$E$84,"&gt;="&amp;E$5,Einzelzahlungen!$E$5:$E$84,"&lt;="&amp;((DATE(YEAR(Start!$B$13),MONTH(Start!$B$13)+4,1)-1)))</f>
        <v>0</v>
      </c>
      <c r="F31" s="29" t="n">
        <f aca="false">SUMIF(Zahlungen!$B$7:$B$46,"Privatentnahmen",Zahlungen!$Y$7:$Y$46)+SUMIFS(Einzelzahlungen!$D$5:$D$84,Einzelzahlungen!$C$5:$C$84,"Privatentnahmen",Einzelzahlungen!$E$5:$E$84,"&gt;="&amp;F$5,Einzelzahlungen!$E$5:$E$84,"&lt;="&amp;((DATE(YEAR(Start!$B$13),MONTH(Start!$B$13)+5,1)-1)))</f>
        <v>0</v>
      </c>
      <c r="G31" s="29" t="n">
        <f aca="false">SUMIF(Zahlungen!$B$7:$B$46,"Privatentnahmen",Zahlungen!$Z$7:$Z$46)+SUMIFS(Einzelzahlungen!$D$5:$D$84,Einzelzahlungen!$C$5:$C$84,"Privatentnahmen",Einzelzahlungen!$E$5:$E$84,"&gt;="&amp;G$5,Einzelzahlungen!$E$5:$E$84,"&lt;="&amp;((DATE(YEAR(Start!$B$13),MONTH(Start!$B$13)+6,1)-1)))</f>
        <v>0</v>
      </c>
      <c r="H31" s="29" t="n">
        <f aca="false">SUMIF(Zahlungen!$B$7:$B$46,"Privatentnahmen",Zahlungen!$AA$7:$AA$46)+SUMIFS(Einzelzahlungen!$D$5:$D$84,Einzelzahlungen!$C$5:$C$84,"Privatentnahmen",Einzelzahlungen!$E$5:$E$84,"&gt;="&amp;H$5,Einzelzahlungen!$E$5:$E$84,"&lt;="&amp;((DATE(YEAR(Start!$B$13),MONTH(Start!$B$13)+7,1)-1)))</f>
        <v>0</v>
      </c>
      <c r="I31" s="29" t="n">
        <f aca="false">SUMIF(Zahlungen!$B$7:$B$46,"Privatentnahmen",Zahlungen!$AB$7:$AB$46)+SUMIFS(Einzelzahlungen!$D$5:$D$84,Einzelzahlungen!$C$5:$C$84,"Privatentnahmen",Einzelzahlungen!$E$5:$E$84,"&gt;="&amp;I$5,Einzelzahlungen!$E$5:$E$84,"&lt;="&amp;((DATE(YEAR(Start!$B$13),MONTH(Start!$B$13)+8,1)-1)))</f>
        <v>0</v>
      </c>
      <c r="J31" s="29" t="n">
        <f aca="false">SUMIF(Zahlungen!$B$7:$B$46,"Privatentnahmen",Zahlungen!$AC$7:$AC$46)+SUMIFS(Einzelzahlungen!$D$5:$D$84,Einzelzahlungen!$C$5:$C$84,"Privatentnahmen",Einzelzahlungen!$E$5:$E$84,"&gt;="&amp;J$5,Einzelzahlungen!$E$5:$E$84,"&lt;="&amp;((DATE(YEAR(Start!$B$13),MONTH(Start!$B$13)+9,1)-1)))</f>
        <v>0</v>
      </c>
      <c r="K31" s="29" t="n">
        <f aca="false">SUMIF(Zahlungen!$B$7:$B$46,"Privatentnahmen",Zahlungen!$AD$7:$AD$46)+SUMIFS(Einzelzahlungen!$D$5:$D$84,Einzelzahlungen!$C$5:$C$84,"Privatentnahmen",Einzelzahlungen!$E$5:$E$84,"&gt;="&amp;K$5,Einzelzahlungen!$E$5:$E$84,"&lt;="&amp;((DATE(YEAR(Start!$B$13),MONTH(Start!$B$13)+10,1)-1)))</f>
        <v>0</v>
      </c>
      <c r="L31" s="29" t="n">
        <f aca="false">SUMIF(Zahlungen!$B$7:$B$46,"Privatentnahmen",Zahlungen!$AE$7:$AE$46)+SUMIFS(Einzelzahlungen!$D$5:$D$84,Einzelzahlungen!$C$5:$C$84,"Privatentnahmen",Einzelzahlungen!$E$5:$E$84,"&gt;="&amp;L$5,Einzelzahlungen!$E$5:$E$84,"&lt;="&amp;((DATE(YEAR(Start!$B$13),MONTH(Start!$B$13)+11,1)-1)))</f>
        <v>0</v>
      </c>
      <c r="M31" s="29" t="n">
        <f aca="false">SUMIF(Zahlungen!$B$7:$B$46,"Privatentnahmen",Zahlungen!$AF$7:$AF$46)+SUMIFS(Einzelzahlungen!$D$5:$D$84,Einzelzahlungen!$C$5:$C$84,"Privatentnahmen",Einzelzahlungen!$E$5:$E$84,"&gt;="&amp;M$5,Einzelzahlungen!$E$5:$E$84,"&lt;="&amp;((DATE(YEAR(Start!$B$13),MONTH(Start!$B$13)+12,1)-1)))</f>
        <v>0</v>
      </c>
      <c r="N31" s="30" t="n">
        <f aca="false">SUM(B31:M31)</f>
        <v>0</v>
      </c>
    </row>
    <row r="32" customFormat="false" ht="15" hidden="false" customHeight="false" outlineLevel="0" collapsed="false">
      <c r="A32" s="4" t="s">
        <v>101</v>
      </c>
      <c r="B32" s="29" t="n">
        <f aca="false">SUMIF(Zahlungen!$B$7:$B$46,"Sonstige Auszahlungen",Zahlungen!$U$7:$U$46)+SUMIFS(Einzelzahlungen!$D$5:$D$84,Einzelzahlungen!$C$5:$C$84,"Sonstige Auszahlungen",Einzelzahlungen!$E$5:$E$84,"&gt;="&amp;B$5,Einzelzahlungen!$E$5:$E$84,"&lt;="&amp;((DATE(YEAR(Start!$B$13),MONTH(Start!$B$13)+1,1)-1)))</f>
        <v>0</v>
      </c>
      <c r="C32" s="29" t="n">
        <f aca="false">SUMIF(Zahlungen!$B$7:$B$46,"Sonstige Auszahlungen",Zahlungen!$V$7:$V$46)+SUMIFS(Einzelzahlungen!$D$5:$D$84,Einzelzahlungen!$C$5:$C$84,"Sonstige Auszahlungen",Einzelzahlungen!$E$5:$E$84,"&gt;="&amp;C$5,Einzelzahlungen!$E$5:$E$84,"&lt;="&amp;((DATE(YEAR(Start!$B$13),MONTH(Start!$B$13)+2,1)-1)))</f>
        <v>0</v>
      </c>
      <c r="D32" s="29" t="n">
        <f aca="false">SUMIF(Zahlungen!$B$7:$B$46,"Sonstige Auszahlungen",Zahlungen!$W$7:$W$46)+SUMIFS(Einzelzahlungen!$D$5:$D$84,Einzelzahlungen!$C$5:$C$84,"Sonstige Auszahlungen",Einzelzahlungen!$E$5:$E$84,"&gt;="&amp;D$5,Einzelzahlungen!$E$5:$E$84,"&lt;="&amp;((DATE(YEAR(Start!$B$13),MONTH(Start!$B$13)+3,1)-1)))</f>
        <v>0</v>
      </c>
      <c r="E32" s="29" t="n">
        <f aca="false">SUMIF(Zahlungen!$B$7:$B$46,"Sonstige Auszahlungen",Zahlungen!$X$7:$X$46)+SUMIFS(Einzelzahlungen!$D$5:$D$84,Einzelzahlungen!$C$5:$C$84,"Sonstige Auszahlungen",Einzelzahlungen!$E$5:$E$84,"&gt;="&amp;E$5,Einzelzahlungen!$E$5:$E$84,"&lt;="&amp;((DATE(YEAR(Start!$B$13),MONTH(Start!$B$13)+4,1)-1)))</f>
        <v>0</v>
      </c>
      <c r="F32" s="29" t="n">
        <f aca="false">SUMIF(Zahlungen!$B$7:$B$46,"Sonstige Auszahlungen",Zahlungen!$Y$7:$Y$46)+SUMIFS(Einzelzahlungen!$D$5:$D$84,Einzelzahlungen!$C$5:$C$84,"Sonstige Auszahlungen",Einzelzahlungen!$E$5:$E$84,"&gt;="&amp;F$5,Einzelzahlungen!$E$5:$E$84,"&lt;="&amp;((DATE(YEAR(Start!$B$13),MONTH(Start!$B$13)+5,1)-1)))</f>
        <v>0</v>
      </c>
      <c r="G32" s="29" t="n">
        <f aca="false">SUMIF(Zahlungen!$B$7:$B$46,"Sonstige Auszahlungen",Zahlungen!$Z$7:$Z$46)+SUMIFS(Einzelzahlungen!$D$5:$D$84,Einzelzahlungen!$C$5:$C$84,"Sonstige Auszahlungen",Einzelzahlungen!$E$5:$E$84,"&gt;="&amp;G$5,Einzelzahlungen!$E$5:$E$84,"&lt;="&amp;((DATE(YEAR(Start!$B$13),MONTH(Start!$B$13)+6,1)-1)))</f>
        <v>0</v>
      </c>
      <c r="H32" s="29" t="n">
        <f aca="false">SUMIF(Zahlungen!$B$7:$B$46,"Sonstige Auszahlungen",Zahlungen!$AA$7:$AA$46)+SUMIFS(Einzelzahlungen!$D$5:$D$84,Einzelzahlungen!$C$5:$C$84,"Sonstige Auszahlungen",Einzelzahlungen!$E$5:$E$84,"&gt;="&amp;H$5,Einzelzahlungen!$E$5:$E$84,"&lt;="&amp;((DATE(YEAR(Start!$B$13),MONTH(Start!$B$13)+7,1)-1)))</f>
        <v>0</v>
      </c>
      <c r="I32" s="29" t="n">
        <f aca="false">SUMIF(Zahlungen!$B$7:$B$46,"Sonstige Auszahlungen",Zahlungen!$AB$7:$AB$46)+SUMIFS(Einzelzahlungen!$D$5:$D$84,Einzelzahlungen!$C$5:$C$84,"Sonstige Auszahlungen",Einzelzahlungen!$E$5:$E$84,"&gt;="&amp;I$5,Einzelzahlungen!$E$5:$E$84,"&lt;="&amp;((DATE(YEAR(Start!$B$13),MONTH(Start!$B$13)+8,1)-1)))</f>
        <v>0</v>
      </c>
      <c r="J32" s="29" t="n">
        <f aca="false">SUMIF(Zahlungen!$B$7:$B$46,"Sonstige Auszahlungen",Zahlungen!$AC$7:$AC$46)+SUMIFS(Einzelzahlungen!$D$5:$D$84,Einzelzahlungen!$C$5:$C$84,"Sonstige Auszahlungen",Einzelzahlungen!$E$5:$E$84,"&gt;="&amp;J$5,Einzelzahlungen!$E$5:$E$84,"&lt;="&amp;((DATE(YEAR(Start!$B$13),MONTH(Start!$B$13)+9,1)-1)))</f>
        <v>0</v>
      </c>
      <c r="K32" s="29" t="n">
        <f aca="false">SUMIF(Zahlungen!$B$7:$B$46,"Sonstige Auszahlungen",Zahlungen!$AD$7:$AD$46)+SUMIFS(Einzelzahlungen!$D$5:$D$84,Einzelzahlungen!$C$5:$C$84,"Sonstige Auszahlungen",Einzelzahlungen!$E$5:$E$84,"&gt;="&amp;K$5,Einzelzahlungen!$E$5:$E$84,"&lt;="&amp;((DATE(YEAR(Start!$B$13),MONTH(Start!$B$13)+10,1)-1)))</f>
        <v>0</v>
      </c>
      <c r="L32" s="29" t="n">
        <f aca="false">SUMIF(Zahlungen!$B$7:$B$46,"Sonstige Auszahlungen",Zahlungen!$AE$7:$AE$46)+SUMIFS(Einzelzahlungen!$D$5:$D$84,Einzelzahlungen!$C$5:$C$84,"Sonstige Auszahlungen",Einzelzahlungen!$E$5:$E$84,"&gt;="&amp;L$5,Einzelzahlungen!$E$5:$E$84,"&lt;="&amp;((DATE(YEAR(Start!$B$13),MONTH(Start!$B$13)+11,1)-1)))</f>
        <v>0</v>
      </c>
      <c r="M32" s="29" t="n">
        <f aca="false">SUMIF(Zahlungen!$B$7:$B$46,"Sonstige Auszahlungen",Zahlungen!$AF$7:$AF$46)+SUMIFS(Einzelzahlungen!$D$5:$D$84,Einzelzahlungen!$C$5:$C$84,"Sonstige Auszahlungen",Einzelzahlungen!$E$5:$E$84,"&gt;="&amp;M$5,Einzelzahlungen!$E$5:$E$84,"&lt;="&amp;((DATE(YEAR(Start!$B$13),MONTH(Start!$B$13)+12,1)-1)))</f>
        <v>0</v>
      </c>
      <c r="N32" s="30" t="n">
        <f aca="false">SUM(B32:M32)</f>
        <v>0</v>
      </c>
    </row>
    <row r="33" customFormat="false" ht="15" hidden="false" customHeight="false" outlineLevel="0" collapsed="false">
      <c r="A33" s="4" t="s">
        <v>102</v>
      </c>
      <c r="B33" s="30" t="n">
        <f aca="false">MAX(0,-B6)*Start!$B$9*(((DATE(YEAR(Start!$B$13),MONTH(Start!$B$13)+1,1)-1))-B$5+1)/365</f>
        <v>-0</v>
      </c>
      <c r="C33" s="30" t="n">
        <f aca="false">MAX(0,-C6)*Start!$B$9*(((DATE(YEAR(Start!$B$13),MONTH(Start!$B$13)+2,1)-1))-C$5+1)/365</f>
        <v>-0</v>
      </c>
      <c r="D33" s="30" t="n">
        <f aca="false">MAX(0,-D6)*Start!$B$9*(((DATE(YEAR(Start!$B$13),MONTH(Start!$B$13)+3,1)-1))-D$5+1)/365</f>
        <v>-0</v>
      </c>
      <c r="E33" s="30" t="n">
        <f aca="false">MAX(0,-E6)*Start!$B$9*(((DATE(YEAR(Start!$B$13),MONTH(Start!$B$13)+4,1)-1))-E$5+1)/365</f>
        <v>-0</v>
      </c>
      <c r="F33" s="30" t="n">
        <f aca="false">MAX(0,-F6)*Start!$B$9*(((DATE(YEAR(Start!$B$13),MONTH(Start!$B$13)+5,1)-1))-F$5+1)/365</f>
        <v>-0</v>
      </c>
      <c r="G33" s="30" t="n">
        <f aca="false">MAX(0,-G6)*Start!$B$9*(((DATE(YEAR(Start!$B$13),MONTH(Start!$B$13)+6,1)-1))-G$5+1)/365</f>
        <v>-0</v>
      </c>
      <c r="H33" s="30" t="n">
        <f aca="false">MAX(0,-H6)*Start!$B$9*(((DATE(YEAR(Start!$B$13),MONTH(Start!$B$13)+7,1)-1))-H$5+1)/365</f>
        <v>-0</v>
      </c>
      <c r="I33" s="30" t="n">
        <f aca="false">MAX(0,-I6)*Start!$B$9*(((DATE(YEAR(Start!$B$13),MONTH(Start!$B$13)+8,1)-1))-I$5+1)/365</f>
        <v>-0</v>
      </c>
      <c r="J33" s="30" t="n">
        <f aca="false">MAX(0,-J6)*Start!$B$9*(((DATE(YEAR(Start!$B$13),MONTH(Start!$B$13)+9,1)-1))-J$5+1)/365</f>
        <v>-0</v>
      </c>
      <c r="K33" s="30" t="n">
        <f aca="false">MAX(0,-K6)*Start!$B$9*(((DATE(YEAR(Start!$B$13),MONTH(Start!$B$13)+10,1)-1))-K$5+1)/365</f>
        <v>-0</v>
      </c>
      <c r="L33" s="30" t="n">
        <f aca="false">MAX(0,-L6)*Start!$B$9*(((DATE(YEAR(Start!$B$13),MONTH(Start!$B$13)+11,1)-1))-L$5+1)/365</f>
        <v>-0</v>
      </c>
      <c r="M33" s="30" t="n">
        <f aca="false">MAX(0,-M6)*Start!$B$9*(((DATE(YEAR(Start!$B$13),MONTH(Start!$B$13)+12,1)-1))-M$5+1)/365</f>
        <v>-0</v>
      </c>
      <c r="N33" s="30" t="n">
        <f aca="false">SUM(B33:M33)</f>
        <v>0</v>
      </c>
    </row>
    <row r="34" customFormat="false" ht="15" hidden="false" customHeight="false" outlineLevel="0" collapsed="false">
      <c r="A34" s="33" t="s">
        <v>103</v>
      </c>
      <c r="B34" s="34" t="n">
        <f aca="false">SUM(B17:B33)</f>
        <v>0</v>
      </c>
      <c r="C34" s="34" t="n">
        <f aca="false">SUM(C17:C33)</f>
        <v>0</v>
      </c>
      <c r="D34" s="34" t="n">
        <f aca="false">SUM(D17:D33)</f>
        <v>0</v>
      </c>
      <c r="E34" s="34" t="n">
        <f aca="false">SUM(E17:E33)</f>
        <v>0</v>
      </c>
      <c r="F34" s="34" t="n">
        <f aca="false">SUM(F17:F33)</f>
        <v>0</v>
      </c>
      <c r="G34" s="34" t="n">
        <f aca="false">SUM(G17:G33)</f>
        <v>0</v>
      </c>
      <c r="H34" s="34" t="n">
        <f aca="false">SUM(H17:H33)</f>
        <v>0</v>
      </c>
      <c r="I34" s="34" t="n">
        <f aca="false">SUM(I17:I33)</f>
        <v>0</v>
      </c>
      <c r="J34" s="34" t="n">
        <f aca="false">SUM(J17:J33)</f>
        <v>0</v>
      </c>
      <c r="K34" s="34" t="n">
        <f aca="false">SUM(K17:K33)</f>
        <v>0</v>
      </c>
      <c r="L34" s="34" t="n">
        <f aca="false">SUM(L17:L33)</f>
        <v>0</v>
      </c>
      <c r="M34" s="34" t="n">
        <f aca="false">SUM(M17:M33)</f>
        <v>0</v>
      </c>
      <c r="N34" s="34" t="n">
        <f aca="false">SUM(B34:M34)</f>
        <v>0</v>
      </c>
    </row>
    <row r="35" customFormat="false" ht="15" hidden="false" customHeight="false" outlineLevel="0" collapsed="false">
      <c r="A35" s="33" t="s">
        <v>104</v>
      </c>
      <c r="B35" s="34" t="n">
        <f aca="false">B15-B34</f>
        <v>0</v>
      </c>
      <c r="C35" s="34" t="n">
        <f aca="false">C15-C34</f>
        <v>0</v>
      </c>
      <c r="D35" s="34" t="n">
        <f aca="false">D15-D34</f>
        <v>0</v>
      </c>
      <c r="E35" s="34" t="n">
        <f aca="false">E15-E34</f>
        <v>0</v>
      </c>
      <c r="F35" s="34" t="n">
        <f aca="false">F15-F34</f>
        <v>0</v>
      </c>
      <c r="G35" s="34" t="n">
        <f aca="false">G15-G34</f>
        <v>0</v>
      </c>
      <c r="H35" s="34" t="n">
        <f aca="false">H15-H34</f>
        <v>0</v>
      </c>
      <c r="I35" s="34" t="n">
        <f aca="false">I15-I34</f>
        <v>0</v>
      </c>
      <c r="J35" s="34" t="n">
        <f aca="false">J15-J34</f>
        <v>0</v>
      </c>
      <c r="K35" s="34" t="n">
        <f aca="false">K15-K34</f>
        <v>0</v>
      </c>
      <c r="L35" s="34" t="n">
        <f aca="false">L15-L34</f>
        <v>0</v>
      </c>
      <c r="M35" s="34" t="n">
        <f aca="false">M15-M34</f>
        <v>0</v>
      </c>
      <c r="N35" s="34" t="n">
        <f aca="false">SUM(B35:M35)</f>
        <v>0</v>
      </c>
    </row>
    <row r="36" customFormat="false" ht="15" hidden="false" customHeight="false" outlineLevel="0" collapsed="false">
      <c r="A36" s="33" t="s">
        <v>105</v>
      </c>
      <c r="B36" s="34" t="n">
        <f aca="false">B6+B35</f>
        <v>0</v>
      </c>
      <c r="C36" s="34" t="n">
        <f aca="false">C6+C35</f>
        <v>0</v>
      </c>
      <c r="D36" s="34" t="n">
        <f aca="false">D6+D35</f>
        <v>0</v>
      </c>
      <c r="E36" s="34" t="n">
        <f aca="false">E6+E35</f>
        <v>0</v>
      </c>
      <c r="F36" s="34" t="n">
        <f aca="false">F6+F35</f>
        <v>0</v>
      </c>
      <c r="G36" s="34" t="n">
        <f aca="false">G6+G35</f>
        <v>0</v>
      </c>
      <c r="H36" s="34" t="n">
        <f aca="false">H6+H35</f>
        <v>0</v>
      </c>
      <c r="I36" s="34" t="n">
        <f aca="false">I6+I35</f>
        <v>0</v>
      </c>
      <c r="J36" s="34" t="n">
        <f aca="false">J6+J35</f>
        <v>0</v>
      </c>
      <c r="K36" s="34" t="n">
        <f aca="false">K6+K35</f>
        <v>0</v>
      </c>
      <c r="L36" s="34" t="n">
        <f aca="false">L6+L35</f>
        <v>0</v>
      </c>
      <c r="M36" s="34" t="n">
        <f aca="false">M6+M35</f>
        <v>0</v>
      </c>
      <c r="N36" s="34" t="n">
        <f aca="false">M36</f>
        <v>0</v>
      </c>
    </row>
    <row r="37" customFormat="false" ht="15" hidden="false" customHeight="false" outlineLevel="0" collapsed="false">
      <c r="A37" s="4" t="s">
        <v>106</v>
      </c>
      <c r="B37" s="29" t="n">
        <f aca="false">Start!$B$8</f>
        <v>0</v>
      </c>
      <c r="C37" s="29" t="n">
        <f aca="false">Start!$B$8</f>
        <v>0</v>
      </c>
      <c r="D37" s="29" t="n">
        <f aca="false">Start!$B$8</f>
        <v>0</v>
      </c>
      <c r="E37" s="29" t="n">
        <f aca="false">Start!$B$8</f>
        <v>0</v>
      </c>
      <c r="F37" s="29" t="n">
        <f aca="false">Start!$B$8</f>
        <v>0</v>
      </c>
      <c r="G37" s="29" t="n">
        <f aca="false">Start!$B$8</f>
        <v>0</v>
      </c>
      <c r="H37" s="29" t="n">
        <f aca="false">Start!$B$8</f>
        <v>0</v>
      </c>
      <c r="I37" s="29" t="n">
        <f aca="false">Start!$B$8</f>
        <v>0</v>
      </c>
      <c r="J37" s="29" t="n">
        <f aca="false">Start!$B$8</f>
        <v>0</v>
      </c>
      <c r="K37" s="29" t="n">
        <f aca="false">Start!$B$8</f>
        <v>0</v>
      </c>
      <c r="L37" s="29" t="n">
        <f aca="false">Start!$B$8</f>
        <v>0</v>
      </c>
      <c r="M37" s="29" t="n">
        <f aca="false">Start!$B$8</f>
        <v>0</v>
      </c>
    </row>
    <row r="38" customFormat="false" ht="15" hidden="false" customHeight="false" outlineLevel="0" collapsed="false">
      <c r="A38" s="33" t="s">
        <v>107</v>
      </c>
      <c r="B38" s="34" t="n">
        <f aca="false">B36+B37</f>
        <v>0</v>
      </c>
      <c r="C38" s="34" t="n">
        <f aca="false">C36+C37</f>
        <v>0</v>
      </c>
      <c r="D38" s="34" t="n">
        <f aca="false">D36+D37</f>
        <v>0</v>
      </c>
      <c r="E38" s="34" t="n">
        <f aca="false">E36+E37</f>
        <v>0</v>
      </c>
      <c r="F38" s="34" t="n">
        <f aca="false">F36+F37</f>
        <v>0</v>
      </c>
      <c r="G38" s="34" t="n">
        <f aca="false">G36+G37</f>
        <v>0</v>
      </c>
      <c r="H38" s="34" t="n">
        <f aca="false">H36+H37</f>
        <v>0</v>
      </c>
      <c r="I38" s="34" t="n">
        <f aca="false">I36+I37</f>
        <v>0</v>
      </c>
      <c r="J38" s="34" t="n">
        <f aca="false">J36+J37</f>
        <v>0</v>
      </c>
      <c r="K38" s="34" t="n">
        <f aca="false">K36+K37</f>
        <v>0</v>
      </c>
      <c r="L38" s="34" t="n">
        <f aca="false">L36+L37</f>
        <v>0</v>
      </c>
      <c r="M38" s="34" t="n">
        <f aca="false">M36+M37</f>
        <v>0</v>
      </c>
      <c r="N38" s="35"/>
    </row>
    <row r="39" customFormat="false" ht="15" hidden="false" customHeight="false" outlineLevel="0" collapsed="false">
      <c r="A39" s="4" t="s">
        <v>108</v>
      </c>
      <c r="B39" s="29" t="n">
        <f aca="false">Start!$B$10</f>
        <v>0</v>
      </c>
      <c r="C39" s="29" t="n">
        <f aca="false">Start!$B$10</f>
        <v>0</v>
      </c>
      <c r="D39" s="29" t="n">
        <f aca="false">Start!$B$10</f>
        <v>0</v>
      </c>
      <c r="E39" s="29" t="n">
        <f aca="false">Start!$B$10</f>
        <v>0</v>
      </c>
      <c r="F39" s="29" t="n">
        <f aca="false">Start!$B$10</f>
        <v>0</v>
      </c>
      <c r="G39" s="29" t="n">
        <f aca="false">Start!$B$10</f>
        <v>0</v>
      </c>
      <c r="H39" s="29" t="n">
        <f aca="false">Start!$B$10</f>
        <v>0</v>
      </c>
      <c r="I39" s="29" t="n">
        <f aca="false">Start!$B$10</f>
        <v>0</v>
      </c>
      <c r="J39" s="29" t="n">
        <f aca="false">Start!$B$10</f>
        <v>0</v>
      </c>
      <c r="K39" s="29" t="n">
        <f aca="false">Start!$B$10</f>
        <v>0</v>
      </c>
      <c r="L39" s="29" t="n">
        <f aca="false">Start!$B$10</f>
        <v>0</v>
      </c>
      <c r="M39" s="29" t="n">
        <f aca="false">Start!$B$10</f>
        <v>0</v>
      </c>
    </row>
    <row r="40" customFormat="false" ht="15" hidden="false" customHeight="false" outlineLevel="0" collapsed="false">
      <c r="A40" s="4" t="s">
        <v>109</v>
      </c>
      <c r="B40" s="25" t="n">
        <f aca="false">-Start!$B$8</f>
        <v>-0</v>
      </c>
      <c r="C40" s="25" t="n">
        <f aca="false">-Start!$B$8</f>
        <v>-0</v>
      </c>
      <c r="D40" s="25" t="n">
        <f aca="false">-Start!$B$8</f>
        <v>-0</v>
      </c>
      <c r="E40" s="25" t="n">
        <f aca="false">-Start!$B$8</f>
        <v>-0</v>
      </c>
      <c r="F40" s="25" t="n">
        <f aca="false">-Start!$B$8</f>
        <v>-0</v>
      </c>
      <c r="G40" s="25" t="n">
        <f aca="false">-Start!$B$8</f>
        <v>-0</v>
      </c>
      <c r="H40" s="25" t="n">
        <f aca="false">-Start!$B$8</f>
        <v>-0</v>
      </c>
      <c r="I40" s="25" t="n">
        <f aca="false">-Start!$B$8</f>
        <v>-0</v>
      </c>
      <c r="J40" s="25" t="n">
        <f aca="false">-Start!$B$8</f>
        <v>-0</v>
      </c>
      <c r="K40" s="25" t="n">
        <f aca="false">-Start!$B$8</f>
        <v>-0</v>
      </c>
      <c r="L40" s="25" t="n">
        <f aca="false">-Start!$B$8</f>
        <v>-0</v>
      </c>
      <c r="M40" s="25" t="n">
        <f aca="false">-Start!$B$8</f>
        <v>-0</v>
      </c>
    </row>
    <row r="41" customFormat="false" ht="15" hidden="false" customHeight="false" outlineLevel="0" collapsed="false">
      <c r="A41" s="3" t="s">
        <v>110</v>
      </c>
      <c r="B41" s="36" t="str">
        <f aca="false">IF(B38&lt;0,"Engpass",IF(B36&lt;0,"Kredit",IF(B36&lt;B39,"unter Puffer","ok")))</f>
        <v>ok</v>
      </c>
      <c r="C41" s="36" t="str">
        <f aca="false">IF(C38&lt;0,"Engpass",IF(C36&lt;0,"Kredit",IF(C36&lt;C39,"unter Puffer","ok")))</f>
        <v>ok</v>
      </c>
      <c r="D41" s="36" t="str">
        <f aca="false">IF(D38&lt;0,"Engpass",IF(D36&lt;0,"Kredit",IF(D36&lt;D39,"unter Puffer","ok")))</f>
        <v>ok</v>
      </c>
      <c r="E41" s="36" t="str">
        <f aca="false">IF(E38&lt;0,"Engpass",IF(E36&lt;0,"Kredit",IF(E36&lt;E39,"unter Puffer","ok")))</f>
        <v>ok</v>
      </c>
      <c r="F41" s="36" t="str">
        <f aca="false">IF(F38&lt;0,"Engpass",IF(F36&lt;0,"Kredit",IF(F36&lt;F39,"unter Puffer","ok")))</f>
        <v>ok</v>
      </c>
      <c r="G41" s="36" t="str">
        <f aca="false">IF(G38&lt;0,"Engpass",IF(G36&lt;0,"Kredit",IF(G36&lt;G39,"unter Puffer","ok")))</f>
        <v>ok</v>
      </c>
      <c r="H41" s="36" t="str">
        <f aca="false">IF(H38&lt;0,"Engpass",IF(H36&lt;0,"Kredit",IF(H36&lt;H39,"unter Puffer","ok")))</f>
        <v>ok</v>
      </c>
      <c r="I41" s="36" t="str">
        <f aca="false">IF(I38&lt;0,"Engpass",IF(I36&lt;0,"Kredit",IF(I36&lt;I39,"unter Puffer","ok")))</f>
        <v>ok</v>
      </c>
      <c r="J41" s="36" t="str">
        <f aca="false">IF(J38&lt;0,"Engpass",IF(J36&lt;0,"Kredit",IF(J36&lt;J39,"unter Puffer","ok")))</f>
        <v>ok</v>
      </c>
      <c r="K41" s="36" t="str">
        <f aca="false">IF(K38&lt;0,"Engpass",IF(K36&lt;0,"Kredit",IF(K36&lt;K39,"unter Puffer","ok")))</f>
        <v>ok</v>
      </c>
      <c r="L41" s="36" t="str">
        <f aca="false">IF(L38&lt;0,"Engpass",IF(L36&lt;0,"Kredit",IF(L36&lt;L39,"unter Puffer","ok")))</f>
        <v>ok</v>
      </c>
      <c r="M41" s="36" t="str">
        <f aca="false">IF(M38&lt;0,"Engpass",IF(M36&lt;0,"Kredit",IF(M36&lt;M39,"unter Puffer","ok")))</f>
        <v>ok</v>
      </c>
    </row>
    <row r="43" customFormat="false" ht="15" hidden="false" customHeight="false" outlineLevel="0" collapsed="false">
      <c r="A43" s="3" t="s">
        <v>111</v>
      </c>
    </row>
    <row r="44" customFormat="false" ht="15" hidden="false" customHeight="false" outlineLevel="0" collapsed="false">
      <c r="A44" s="4" t="s">
        <v>112</v>
      </c>
      <c r="B44" s="37" t="n">
        <f aca="false">MIN(B36:M36)</f>
        <v>0</v>
      </c>
      <c r="C44" s="37"/>
    </row>
    <row r="45" customFormat="false" ht="15" hidden="false" customHeight="false" outlineLevel="0" collapsed="false">
      <c r="A45" s="4" t="s">
        <v>125</v>
      </c>
      <c r="B45" s="41" t="n">
        <f aca="false">INDEX(B4:M4,MATCH(MIN(B36:M36),B36:M36,0))</f>
        <v>46327</v>
      </c>
      <c r="C45" s="41"/>
    </row>
    <row r="46" customFormat="false" ht="15" hidden="false" customHeight="false" outlineLevel="0" collapsed="false">
      <c r="A46" s="4" t="s">
        <v>126</v>
      </c>
      <c r="B46" s="41" t="str">
        <f aca="false">IFERROR(INDEX(B4:M4,MATCH("Engpass",B41:M41,0)),"keine")</f>
        <v>keine</v>
      </c>
      <c r="C46" s="41"/>
    </row>
    <row r="47" customFormat="false" ht="15" hidden="false" customHeight="false" outlineLevel="0" collapsed="false">
      <c r="A47" s="4" t="s">
        <v>127</v>
      </c>
      <c r="B47" s="41" t="str">
        <f aca="false">IFERROR(INDEX(B4:M4,MATCH(TRUE(),INDEX(B36:M36&lt;Start!$B$10,0),0)),"keine")</f>
        <v>keine</v>
      </c>
      <c r="C47" s="41"/>
    </row>
    <row r="48" customFormat="false" ht="15" hidden="false" customHeight="false" outlineLevel="0" collapsed="false">
      <c r="A48" s="4" t="s">
        <v>116</v>
      </c>
      <c r="B48" s="37" t="n">
        <f aca="false">M36</f>
        <v>0</v>
      </c>
      <c r="C48" s="37"/>
    </row>
    <row r="50" customFormat="false" ht="15" hidden="false" customHeight="false" outlineLevel="0" collapsed="false">
      <c r="A50" s="3" t="s">
        <v>117</v>
      </c>
    </row>
    <row r="51" customFormat="false" ht="15" hidden="false" customHeight="false" outlineLevel="0" collapsed="false">
      <c r="A51" s="4" t="s">
        <v>118</v>
      </c>
      <c r="B51" s="39" t="n">
        <f aca="false">SUMPRODUCT((Zahlungen!$C$7:$C$46&gt;0)*((Zahlungen!$B$7:$B$46="")+(Zahlungen!$D$7:$D$46="")+(Zahlungen!$E$7:$E$46="")&gt;0)*Zahlungen!$C$7:$C$46)</f>
        <v>0</v>
      </c>
      <c r="C51" s="39"/>
    </row>
    <row r="52" customFormat="false" ht="15" hidden="false" customHeight="false" outlineLevel="0" collapsed="false">
      <c r="A52" s="4" t="s">
        <v>119</v>
      </c>
      <c r="B52" s="39" t="n">
        <f aca="false">SUMPRODUCT((Einzelzahlungen!$D$5:$D$84&gt;0)*((Einzelzahlungen!$A$5:$A$84="")+(Einzelzahlungen!$C$5:$C$84="")&gt;0)*Einzelzahlungen!$D$5:$D$84)</f>
        <v>0</v>
      </c>
      <c r="C52" s="39"/>
    </row>
    <row r="53" customFormat="false" ht="15" hidden="false" customHeight="false" outlineLevel="0" collapsed="false">
      <c r="A53" s="4" t="s">
        <v>120</v>
      </c>
      <c r="B53" s="39" t="n">
        <f aca="false">SUMIFS(Einzelzahlungen!$D$5:$D$84,Einzelzahlungen!$E$5:$E$84,"vor Beginn")</f>
        <v>0</v>
      </c>
      <c r="C53" s="39"/>
    </row>
    <row r="54" customFormat="false" ht="15" hidden="false" customHeight="false" outlineLevel="0" collapsed="false">
      <c r="A54" s="4" t="s">
        <v>121</v>
      </c>
      <c r="B54" s="39" t="n">
        <f aca="false">SUMIFS('Offene Posten'!$C$5:$C$64,'Offene Posten'!$G$5:$G$64,"&gt;"&amp;(DATE(YEAR(Start!$B$13),MONTH(Start!$B$13)+12,1)-1))+SUMIFS('Offene Posten'!$C$70:$C$129,'Offene Posten'!$G$70:$G$129,"&gt;"&amp;(DATE(YEAR(Start!$B$13),MONTH(Start!$B$13)+12,1)-1))+SUMIFS(Einzelzahlungen!$D$5:$D$84,Einzelzahlungen!$E$5:$E$84,"&gt;"&amp;(DATE(YEAR(Start!$B$13),MONTH(Start!$B$13)+12,1)-1))</f>
        <v>0</v>
      </c>
      <c r="C54" s="39"/>
    </row>
    <row r="56" customFormat="false" ht="69.75" hidden="false" customHeight="true" outlineLevel="0" collapsed="false">
      <c r="A56" s="19" t="s">
        <v>122</v>
      </c>
      <c r="B56" s="19"/>
      <c r="C56" s="19"/>
    </row>
  </sheetData>
  <sheetProtection sheet="true" formatCells="false" formatColumns="false" formatRows="false"/>
  <mergeCells count="10">
    <mergeCell ref="B44:C44"/>
    <mergeCell ref="B45:C45"/>
    <mergeCell ref="B46:C46"/>
    <mergeCell ref="B47:C47"/>
    <mergeCell ref="B48:C48"/>
    <mergeCell ref="B51:C51"/>
    <mergeCell ref="B52:C52"/>
    <mergeCell ref="B53:C53"/>
    <mergeCell ref="B54:C54"/>
    <mergeCell ref="A56:C56"/>
  </mergeCells>
  <conditionalFormatting sqref="B41:M41">
    <cfRule type="cellIs" priority="2" operator="equal" aboveAverage="0" equalAverage="0" bottom="0" percent="0" rank="0" text="" dxfId="2">
      <formula>"ok"</formula>
    </cfRule>
    <cfRule type="cellIs" priority="3" operator="equal" aboveAverage="0" equalAverage="0" bottom="0" percent="0" rank="0" text="" dxfId="3">
      <formula>"unter Puffer"</formula>
    </cfRule>
    <cfRule type="cellIs" priority="4" operator="equal" aboveAverage="0" equalAverage="0" bottom="0" percent="0" rank="0" text="" dxfId="3">
      <formula>"Kredit"</formula>
    </cfRule>
    <cfRule type="cellIs" priority="5" operator="equal" aboveAverage="0" equalAverage="0" bottom="0" percent="0" rank="0" text="" dxfId="1">
      <formula>"Engpass"</formula>
    </cfRule>
  </conditionalFormatting>
  <conditionalFormatting sqref="B36:M36">
    <cfRule type="cellIs" priority="6" operator="lessThan" aboveAverage="0" equalAverage="0" bottom="0" percent="0" rank="0" text="" dxfId="1">
      <formula>0</formula>
    </cfRule>
  </conditionalFormatting>
  <conditionalFormatting sqref="B51">
    <cfRule type="cellIs" priority="7" operator="notEqual" aboveAverage="0" equalAverage="0" bottom="0" percent="0" rank="0" text="" dxfId="1">
      <formula>0</formula>
    </cfRule>
  </conditionalFormatting>
  <conditionalFormatting sqref="B52">
    <cfRule type="cellIs" priority="8" operator="notEqual" aboveAverage="0" equalAverage="0" bottom="0" percent="0" rank="0" text="" dxfId="1">
      <formula>0</formula>
    </cfRule>
  </conditionalFormatting>
  <conditionalFormatting sqref="B53">
    <cfRule type="cellIs" priority="9" operator="notEqual"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13" min="2" style="0" width="11"/>
  </cols>
  <sheetData>
    <row r="1" customFormat="false" ht="17.35" hidden="false" customHeight="false" outlineLevel="0" collapsed="false">
      <c r="A1" s="1" t="s">
        <v>128</v>
      </c>
    </row>
    <row r="2" customFormat="false" ht="15" hidden="false" customHeight="false" outlineLevel="0" collapsed="false">
      <c r="A2" s="15" t="s">
        <v>129</v>
      </c>
    </row>
    <row r="3" customFormat="false" ht="22.35" hidden="false" customHeight="true" outlineLevel="0" collapsed="false">
      <c r="A3" s="4" t="s">
        <v>130</v>
      </c>
      <c r="B3" s="42" t="n">
        <f aca="false">DATE(YEAR(Start!$B$13),MONTH(Start!$B$13),1)</f>
        <v>46327</v>
      </c>
      <c r="C3" s="19" t="s">
        <v>131</v>
      </c>
      <c r="D3" s="19"/>
      <c r="E3" s="19"/>
      <c r="F3" s="19"/>
      <c r="G3" s="19"/>
      <c r="H3" s="19"/>
    </row>
    <row r="5" customFormat="false" ht="15" hidden="false" customHeight="false" outlineLevel="0" collapsed="false">
      <c r="A5" s="16" t="s">
        <v>74</v>
      </c>
      <c r="B5" s="43" t="n">
        <f aca="false">$B$3</f>
        <v>46327</v>
      </c>
      <c r="C5" s="43" t="n">
        <f aca="false">EDATE($B$3,1)</f>
        <v>46357</v>
      </c>
      <c r="D5" s="43" t="n">
        <f aca="false">EDATE($B$3,2)</f>
        <v>46388</v>
      </c>
      <c r="E5" s="43" t="n">
        <f aca="false">EDATE($B$3,3)</f>
        <v>46419</v>
      </c>
      <c r="F5" s="43" t="n">
        <f aca="false">EDATE($B$3,4)</f>
        <v>46447</v>
      </c>
      <c r="G5" s="43" t="n">
        <f aca="false">EDATE($B$3,5)</f>
        <v>46478</v>
      </c>
      <c r="H5" s="43" t="n">
        <f aca="false">EDATE($B$3,6)</f>
        <v>46508</v>
      </c>
      <c r="I5" s="43" t="n">
        <f aca="false">EDATE($B$3,7)</f>
        <v>46539</v>
      </c>
      <c r="J5" s="43" t="n">
        <f aca="false">EDATE($B$3,8)</f>
        <v>46569</v>
      </c>
      <c r="K5" s="43" t="n">
        <f aca="false">EDATE($B$3,9)</f>
        <v>46600</v>
      </c>
      <c r="L5" s="43" t="n">
        <f aca="false">EDATE($B$3,10)</f>
        <v>46631</v>
      </c>
      <c r="M5" s="43" t="n">
        <f aca="false">EDATE($B$3,11)</f>
        <v>46661</v>
      </c>
    </row>
    <row r="6" customFormat="false" ht="15" hidden="false" customHeight="false" outlineLevel="0" collapsed="false">
      <c r="A6" s="31" t="s">
        <v>76</v>
      </c>
      <c r="B6" s="32"/>
      <c r="C6" s="32"/>
      <c r="D6" s="32"/>
      <c r="E6" s="32"/>
      <c r="F6" s="32"/>
      <c r="G6" s="32"/>
      <c r="H6" s="32"/>
      <c r="I6" s="32"/>
      <c r="J6" s="32"/>
      <c r="K6" s="32"/>
      <c r="L6" s="32"/>
      <c r="M6" s="32"/>
    </row>
    <row r="7" customFormat="false" ht="15" hidden="false" customHeight="false" outlineLevel="0" collapsed="false">
      <c r="A7" s="4" t="s">
        <v>132</v>
      </c>
      <c r="B7" s="29" t="n">
        <f aca="false">IFERROR(INDEX('12 Monate'!$B$15:$M$15,MATCH(B$5,'12 Monate'!$B$4:$M$4,0)),"")</f>
        <v>0</v>
      </c>
      <c r="C7" s="29" t="n">
        <f aca="false">IFERROR(INDEX('12 Monate'!$B$15:$M$15,MATCH(C$5,'12 Monate'!$B$4:$M$4,0)),"")</f>
        <v>0</v>
      </c>
      <c r="D7" s="29" t="n">
        <f aca="false">IFERROR(INDEX('12 Monate'!$B$15:$M$15,MATCH(D$5,'12 Monate'!$B$4:$M$4,0)),"")</f>
        <v>0</v>
      </c>
      <c r="E7" s="29" t="n">
        <f aca="false">IFERROR(INDEX('12 Monate'!$B$15:$M$15,MATCH(E$5,'12 Monate'!$B$4:$M$4,0)),"")</f>
        <v>0</v>
      </c>
      <c r="F7" s="29" t="n">
        <f aca="false">IFERROR(INDEX('12 Monate'!$B$15:$M$15,MATCH(F$5,'12 Monate'!$B$4:$M$4,0)),"")</f>
        <v>0</v>
      </c>
      <c r="G7" s="29" t="n">
        <f aca="false">IFERROR(INDEX('12 Monate'!$B$15:$M$15,MATCH(G$5,'12 Monate'!$B$4:$M$4,0)),"")</f>
        <v>0</v>
      </c>
      <c r="H7" s="29" t="n">
        <f aca="false">IFERROR(INDEX('12 Monate'!$B$15:$M$15,MATCH(H$5,'12 Monate'!$B$4:$M$4,0)),"")</f>
        <v>0</v>
      </c>
      <c r="I7" s="29" t="n">
        <f aca="false">IFERROR(INDEX('12 Monate'!$B$15:$M$15,MATCH(I$5,'12 Monate'!$B$4:$M$4,0)),"")</f>
        <v>0</v>
      </c>
      <c r="J7" s="29" t="n">
        <f aca="false">IFERROR(INDEX('12 Monate'!$B$15:$M$15,MATCH(J$5,'12 Monate'!$B$4:$M$4,0)),"")</f>
        <v>0</v>
      </c>
      <c r="K7" s="29" t="n">
        <f aca="false">IFERROR(INDEX('12 Monate'!$B$15:$M$15,MATCH(K$5,'12 Monate'!$B$4:$M$4,0)),"")</f>
        <v>0</v>
      </c>
      <c r="L7" s="29" t="n">
        <f aca="false">IFERROR(INDEX('12 Monate'!$B$15:$M$15,MATCH(L$5,'12 Monate'!$B$4:$M$4,0)),"")</f>
        <v>0</v>
      </c>
      <c r="M7" s="29" t="n">
        <f aca="false">IFERROR(INDEX('12 Monate'!$B$15:$M$15,MATCH(M$5,'12 Monate'!$B$4:$M$4,0)),"")</f>
        <v>0</v>
      </c>
    </row>
    <row r="8" customFormat="false" ht="15" hidden="false" customHeight="false" outlineLevel="0" collapsed="false">
      <c r="A8" s="4" t="s">
        <v>133</v>
      </c>
      <c r="B8" s="8"/>
      <c r="C8" s="8"/>
      <c r="D8" s="8"/>
      <c r="E8" s="8"/>
      <c r="F8" s="8"/>
      <c r="G8" s="8"/>
      <c r="H8" s="8"/>
      <c r="I8" s="8"/>
      <c r="J8" s="8"/>
      <c r="K8" s="8"/>
      <c r="L8" s="8"/>
      <c r="M8" s="8"/>
    </row>
    <row r="9" customFormat="false" ht="15" hidden="false" customHeight="false" outlineLevel="0" collapsed="false">
      <c r="A9" s="4" t="s">
        <v>134</v>
      </c>
      <c r="B9" s="8"/>
      <c r="C9" s="8"/>
      <c r="D9" s="8"/>
      <c r="E9" s="8"/>
      <c r="F9" s="8"/>
      <c r="G9" s="8"/>
      <c r="H9" s="8"/>
      <c r="I9" s="8"/>
      <c r="J9" s="8"/>
      <c r="K9" s="8"/>
      <c r="L9" s="8"/>
      <c r="M9" s="8"/>
    </row>
    <row r="10" customFormat="false" ht="15" hidden="false" customHeight="false" outlineLevel="0" collapsed="false">
      <c r="A10" s="4" t="s">
        <v>135</v>
      </c>
      <c r="B10" s="30" t="str">
        <f aca="false">IF(OR(B9="",IF(B8&lt;&gt;"",B8,B7)=""),"",B9-IF(B8&lt;&gt;"",B8,B7))</f>
        <v/>
      </c>
      <c r="C10" s="30" t="str">
        <f aca="false">IF(OR(C9="",IF(C8&lt;&gt;"",C8,C7)=""),"",C9-IF(C8&lt;&gt;"",C8,C7))</f>
        <v/>
      </c>
      <c r="D10" s="30" t="str">
        <f aca="false">IF(OR(D9="",IF(D8&lt;&gt;"",D8,D7)=""),"",D9-IF(D8&lt;&gt;"",D8,D7))</f>
        <v/>
      </c>
      <c r="E10" s="30" t="str">
        <f aca="false">IF(OR(E9="",IF(E8&lt;&gt;"",E8,E7)=""),"",E9-IF(E8&lt;&gt;"",E8,E7))</f>
        <v/>
      </c>
      <c r="F10" s="30" t="str">
        <f aca="false">IF(OR(F9="",IF(F8&lt;&gt;"",F8,F7)=""),"",F9-IF(F8&lt;&gt;"",F8,F7))</f>
        <v/>
      </c>
      <c r="G10" s="30" t="str">
        <f aca="false">IF(OR(G9="",IF(G8&lt;&gt;"",G8,G7)=""),"",G9-IF(G8&lt;&gt;"",G8,G7))</f>
        <v/>
      </c>
      <c r="H10" s="30" t="str">
        <f aca="false">IF(OR(H9="",IF(H8&lt;&gt;"",H8,H7)=""),"",H9-IF(H8&lt;&gt;"",H8,H7))</f>
        <v/>
      </c>
      <c r="I10" s="30" t="str">
        <f aca="false">IF(OR(I9="",IF(I8&lt;&gt;"",I8,I7)=""),"",I9-IF(I8&lt;&gt;"",I8,I7))</f>
        <v/>
      </c>
      <c r="J10" s="30" t="str">
        <f aca="false">IF(OR(J9="",IF(J8&lt;&gt;"",J8,J7)=""),"",J9-IF(J8&lt;&gt;"",J8,J7))</f>
        <v/>
      </c>
      <c r="K10" s="30" t="str">
        <f aca="false">IF(OR(K9="",IF(K8&lt;&gt;"",K8,K7)=""),"",K9-IF(K8&lt;&gt;"",K8,K7))</f>
        <v/>
      </c>
      <c r="L10" s="30" t="str">
        <f aca="false">IF(OR(L9="",IF(L8&lt;&gt;"",L8,L7)=""),"",L9-IF(L8&lt;&gt;"",L8,L7))</f>
        <v/>
      </c>
      <c r="M10" s="30" t="str">
        <f aca="false">IF(OR(M9="",IF(M8&lt;&gt;"",M8,M7)=""),"",M9-IF(M8&lt;&gt;"",M8,M7))</f>
        <v/>
      </c>
    </row>
    <row r="11" customFormat="false" ht="15" hidden="false" customHeight="false" outlineLevel="0" collapsed="false">
      <c r="A11" s="4" t="s">
        <v>136</v>
      </c>
      <c r="B11" s="44" t="str">
        <f aca="false">IF(OR(B10="",IF(B8&lt;&gt;"",B8,B7)=0),"",B10/ABS(IF(B8&lt;&gt;"",B8,B7)))</f>
        <v/>
      </c>
      <c r="C11" s="44" t="str">
        <f aca="false">IF(OR(C10="",IF(C8&lt;&gt;"",C8,C7)=0),"",C10/ABS(IF(C8&lt;&gt;"",C8,C7)))</f>
        <v/>
      </c>
      <c r="D11" s="44" t="str">
        <f aca="false">IF(OR(D10="",IF(D8&lt;&gt;"",D8,D7)=0),"",D10/ABS(IF(D8&lt;&gt;"",D8,D7)))</f>
        <v/>
      </c>
      <c r="E11" s="44" t="str">
        <f aca="false">IF(OR(E10="",IF(E8&lt;&gt;"",E8,E7)=0),"",E10/ABS(IF(E8&lt;&gt;"",E8,E7)))</f>
        <v/>
      </c>
      <c r="F11" s="44" t="str">
        <f aca="false">IF(OR(F10="",IF(F8&lt;&gt;"",F8,F7)=0),"",F10/ABS(IF(F8&lt;&gt;"",F8,F7)))</f>
        <v/>
      </c>
      <c r="G11" s="44" t="str">
        <f aca="false">IF(OR(G10="",IF(G8&lt;&gt;"",G8,G7)=0),"",G10/ABS(IF(G8&lt;&gt;"",G8,G7)))</f>
        <v/>
      </c>
      <c r="H11" s="44" t="str">
        <f aca="false">IF(OR(H10="",IF(H8&lt;&gt;"",H8,H7)=0),"",H10/ABS(IF(H8&lt;&gt;"",H8,H7)))</f>
        <v/>
      </c>
      <c r="I11" s="44" t="str">
        <f aca="false">IF(OR(I10="",IF(I8&lt;&gt;"",I8,I7)=0),"",I10/ABS(IF(I8&lt;&gt;"",I8,I7)))</f>
        <v/>
      </c>
      <c r="J11" s="44" t="str">
        <f aca="false">IF(OR(J10="",IF(J8&lt;&gt;"",J8,J7)=0),"",J10/ABS(IF(J8&lt;&gt;"",J8,J7)))</f>
        <v/>
      </c>
      <c r="K11" s="44" t="str">
        <f aca="false">IF(OR(K10="",IF(K8&lt;&gt;"",K8,K7)=0),"",K10/ABS(IF(K8&lt;&gt;"",K8,K7)))</f>
        <v/>
      </c>
      <c r="L11" s="44" t="str">
        <f aca="false">IF(OR(L10="",IF(L8&lt;&gt;"",L8,L7)=0),"",L10/ABS(IF(L8&lt;&gt;"",L8,L7)))</f>
        <v/>
      </c>
      <c r="M11" s="44" t="str">
        <f aca="false">IF(OR(M10="",IF(M8&lt;&gt;"",M8,M7)=0),"",M10/ABS(IF(M8&lt;&gt;"",M8,M7)))</f>
        <v/>
      </c>
    </row>
    <row r="13" customFormat="false" ht="15" hidden="false" customHeight="false" outlineLevel="0" collapsed="false">
      <c r="A13" s="31" t="s">
        <v>85</v>
      </c>
      <c r="B13" s="32"/>
      <c r="C13" s="32"/>
      <c r="D13" s="32"/>
      <c r="E13" s="32"/>
      <c r="F13" s="32"/>
      <c r="G13" s="32"/>
      <c r="H13" s="32"/>
      <c r="I13" s="32"/>
      <c r="J13" s="32"/>
      <c r="K13" s="32"/>
      <c r="L13" s="32"/>
      <c r="M13" s="32"/>
    </row>
    <row r="14" customFormat="false" ht="15" hidden="false" customHeight="false" outlineLevel="0" collapsed="false">
      <c r="A14" s="4" t="s">
        <v>132</v>
      </c>
      <c r="B14" s="29" t="n">
        <f aca="false">IFERROR(INDEX('12 Monate'!$B$34:$M$34,MATCH(B$5,'12 Monate'!$B$4:$M$4,0)),"")</f>
        <v>0</v>
      </c>
      <c r="C14" s="29" t="n">
        <f aca="false">IFERROR(INDEX('12 Monate'!$B$34:$M$34,MATCH(C$5,'12 Monate'!$B$4:$M$4,0)),"")</f>
        <v>0</v>
      </c>
      <c r="D14" s="29" t="n">
        <f aca="false">IFERROR(INDEX('12 Monate'!$B$34:$M$34,MATCH(D$5,'12 Monate'!$B$4:$M$4,0)),"")</f>
        <v>0</v>
      </c>
      <c r="E14" s="29" t="n">
        <f aca="false">IFERROR(INDEX('12 Monate'!$B$34:$M$34,MATCH(E$5,'12 Monate'!$B$4:$M$4,0)),"")</f>
        <v>0</v>
      </c>
      <c r="F14" s="29" t="n">
        <f aca="false">IFERROR(INDEX('12 Monate'!$B$34:$M$34,MATCH(F$5,'12 Monate'!$B$4:$M$4,0)),"")</f>
        <v>0</v>
      </c>
      <c r="G14" s="29" t="n">
        <f aca="false">IFERROR(INDEX('12 Monate'!$B$34:$M$34,MATCH(G$5,'12 Monate'!$B$4:$M$4,0)),"")</f>
        <v>0</v>
      </c>
      <c r="H14" s="29" t="n">
        <f aca="false">IFERROR(INDEX('12 Monate'!$B$34:$M$34,MATCH(H$5,'12 Monate'!$B$4:$M$4,0)),"")</f>
        <v>0</v>
      </c>
      <c r="I14" s="29" t="n">
        <f aca="false">IFERROR(INDEX('12 Monate'!$B$34:$M$34,MATCH(I$5,'12 Monate'!$B$4:$M$4,0)),"")</f>
        <v>0</v>
      </c>
      <c r="J14" s="29" t="n">
        <f aca="false">IFERROR(INDEX('12 Monate'!$B$34:$M$34,MATCH(J$5,'12 Monate'!$B$4:$M$4,0)),"")</f>
        <v>0</v>
      </c>
      <c r="K14" s="29" t="n">
        <f aca="false">IFERROR(INDEX('12 Monate'!$B$34:$M$34,MATCH(K$5,'12 Monate'!$B$4:$M$4,0)),"")</f>
        <v>0</v>
      </c>
      <c r="L14" s="29" t="n">
        <f aca="false">IFERROR(INDEX('12 Monate'!$B$34:$M$34,MATCH(L$5,'12 Monate'!$B$4:$M$4,0)),"")</f>
        <v>0</v>
      </c>
      <c r="M14" s="29" t="n">
        <f aca="false">IFERROR(INDEX('12 Monate'!$B$34:$M$34,MATCH(M$5,'12 Monate'!$B$4:$M$4,0)),"")</f>
        <v>0</v>
      </c>
    </row>
    <row r="15" customFormat="false" ht="15" hidden="false" customHeight="false" outlineLevel="0" collapsed="false">
      <c r="A15" s="4" t="s">
        <v>133</v>
      </c>
      <c r="B15" s="8"/>
      <c r="C15" s="8"/>
      <c r="D15" s="8"/>
      <c r="E15" s="8"/>
      <c r="F15" s="8"/>
      <c r="G15" s="8"/>
      <c r="H15" s="8"/>
      <c r="I15" s="8"/>
      <c r="J15" s="8"/>
      <c r="K15" s="8"/>
      <c r="L15" s="8"/>
      <c r="M15" s="8"/>
    </row>
    <row r="16" customFormat="false" ht="15" hidden="false" customHeight="false" outlineLevel="0" collapsed="false">
      <c r="A16" s="4" t="s">
        <v>134</v>
      </c>
      <c r="B16" s="8"/>
      <c r="C16" s="8"/>
      <c r="D16" s="8"/>
      <c r="E16" s="8"/>
      <c r="F16" s="8"/>
      <c r="G16" s="8"/>
      <c r="H16" s="8"/>
      <c r="I16" s="8"/>
      <c r="J16" s="8"/>
      <c r="K16" s="8"/>
      <c r="L16" s="8"/>
      <c r="M16" s="8"/>
    </row>
    <row r="17" customFormat="false" ht="15" hidden="false" customHeight="false" outlineLevel="0" collapsed="false">
      <c r="A17" s="4" t="s">
        <v>135</v>
      </c>
      <c r="B17" s="30" t="str">
        <f aca="false">IF(OR(B16="",IF(B15&lt;&gt;"",B15,B14)=""),"",B16-IF(B15&lt;&gt;"",B15,B14))</f>
        <v/>
      </c>
      <c r="C17" s="30" t="str">
        <f aca="false">IF(OR(C16="",IF(C15&lt;&gt;"",C15,C14)=""),"",C16-IF(C15&lt;&gt;"",C15,C14))</f>
        <v/>
      </c>
      <c r="D17" s="30" t="str">
        <f aca="false">IF(OR(D16="",IF(D15&lt;&gt;"",D15,D14)=""),"",D16-IF(D15&lt;&gt;"",D15,D14))</f>
        <v/>
      </c>
      <c r="E17" s="30" t="str">
        <f aca="false">IF(OR(E16="",IF(E15&lt;&gt;"",E15,E14)=""),"",E16-IF(E15&lt;&gt;"",E15,E14))</f>
        <v/>
      </c>
      <c r="F17" s="30" t="str">
        <f aca="false">IF(OR(F16="",IF(F15&lt;&gt;"",F15,F14)=""),"",F16-IF(F15&lt;&gt;"",F15,F14))</f>
        <v/>
      </c>
      <c r="G17" s="30" t="str">
        <f aca="false">IF(OR(G16="",IF(G15&lt;&gt;"",G15,G14)=""),"",G16-IF(G15&lt;&gt;"",G15,G14))</f>
        <v/>
      </c>
      <c r="H17" s="30" t="str">
        <f aca="false">IF(OR(H16="",IF(H15&lt;&gt;"",H15,H14)=""),"",H16-IF(H15&lt;&gt;"",H15,H14))</f>
        <v/>
      </c>
      <c r="I17" s="30" t="str">
        <f aca="false">IF(OR(I16="",IF(I15&lt;&gt;"",I15,I14)=""),"",I16-IF(I15&lt;&gt;"",I15,I14))</f>
        <v/>
      </c>
      <c r="J17" s="30" t="str">
        <f aca="false">IF(OR(J16="",IF(J15&lt;&gt;"",J15,J14)=""),"",J16-IF(J15&lt;&gt;"",J15,J14))</f>
        <v/>
      </c>
      <c r="K17" s="30" t="str">
        <f aca="false">IF(OR(K16="",IF(K15&lt;&gt;"",K15,K14)=""),"",K16-IF(K15&lt;&gt;"",K15,K14))</f>
        <v/>
      </c>
      <c r="L17" s="30" t="str">
        <f aca="false">IF(OR(L16="",IF(L15&lt;&gt;"",L15,L14)=""),"",L16-IF(L15&lt;&gt;"",L15,L14))</f>
        <v/>
      </c>
      <c r="M17" s="30" t="str">
        <f aca="false">IF(OR(M16="",IF(M15&lt;&gt;"",M15,M14)=""),"",M16-IF(M15&lt;&gt;"",M15,M14))</f>
        <v/>
      </c>
    </row>
    <row r="18" customFormat="false" ht="15" hidden="false" customHeight="false" outlineLevel="0" collapsed="false">
      <c r="A18" s="4" t="s">
        <v>136</v>
      </c>
      <c r="B18" s="44" t="str">
        <f aca="false">IF(OR(B17="",IF(B15&lt;&gt;"",B15,B14)=0),"",B17/ABS(IF(B15&lt;&gt;"",B15,B14)))</f>
        <v/>
      </c>
      <c r="C18" s="44" t="str">
        <f aca="false">IF(OR(C17="",IF(C15&lt;&gt;"",C15,C14)=0),"",C17/ABS(IF(C15&lt;&gt;"",C15,C14)))</f>
        <v/>
      </c>
      <c r="D18" s="44" t="str">
        <f aca="false">IF(OR(D17="",IF(D15&lt;&gt;"",D15,D14)=0),"",D17/ABS(IF(D15&lt;&gt;"",D15,D14)))</f>
        <v/>
      </c>
      <c r="E18" s="44" t="str">
        <f aca="false">IF(OR(E17="",IF(E15&lt;&gt;"",E15,E14)=0),"",E17/ABS(IF(E15&lt;&gt;"",E15,E14)))</f>
        <v/>
      </c>
      <c r="F18" s="44" t="str">
        <f aca="false">IF(OR(F17="",IF(F15&lt;&gt;"",F15,F14)=0),"",F17/ABS(IF(F15&lt;&gt;"",F15,F14)))</f>
        <v/>
      </c>
      <c r="G18" s="44" t="str">
        <f aca="false">IF(OR(G17="",IF(G15&lt;&gt;"",G15,G14)=0),"",G17/ABS(IF(G15&lt;&gt;"",G15,G14)))</f>
        <v/>
      </c>
      <c r="H18" s="44" t="str">
        <f aca="false">IF(OR(H17="",IF(H15&lt;&gt;"",H15,H14)=0),"",H17/ABS(IF(H15&lt;&gt;"",H15,H14)))</f>
        <v/>
      </c>
      <c r="I18" s="44" t="str">
        <f aca="false">IF(OR(I17="",IF(I15&lt;&gt;"",I15,I14)=0),"",I17/ABS(IF(I15&lt;&gt;"",I15,I14)))</f>
        <v/>
      </c>
      <c r="J18" s="44" t="str">
        <f aca="false">IF(OR(J17="",IF(J15&lt;&gt;"",J15,J14)=0),"",J17/ABS(IF(J15&lt;&gt;"",J15,J14)))</f>
        <v/>
      </c>
      <c r="K18" s="44" t="str">
        <f aca="false">IF(OR(K17="",IF(K15&lt;&gt;"",K15,K14)=0),"",K17/ABS(IF(K15&lt;&gt;"",K15,K14)))</f>
        <v/>
      </c>
      <c r="L18" s="44" t="str">
        <f aca="false">IF(OR(L17="",IF(L15&lt;&gt;"",L15,L14)=0),"",L17/ABS(IF(L15&lt;&gt;"",L15,L14)))</f>
        <v/>
      </c>
      <c r="M18" s="44" t="str">
        <f aca="false">IF(OR(M17="",IF(M15&lt;&gt;"",M15,M14)=0),"",M17/ABS(IF(M15&lt;&gt;"",M15,M14)))</f>
        <v/>
      </c>
    </row>
    <row r="20" customFormat="false" ht="15" hidden="false" customHeight="false" outlineLevel="0" collapsed="false">
      <c r="A20" s="31" t="s">
        <v>137</v>
      </c>
      <c r="B20" s="32"/>
      <c r="C20" s="32"/>
      <c r="D20" s="32"/>
      <c r="E20" s="32"/>
      <c r="F20" s="32"/>
      <c r="G20" s="32"/>
      <c r="H20" s="32"/>
      <c r="I20" s="32"/>
      <c r="J20" s="32"/>
      <c r="K20" s="32"/>
      <c r="L20" s="32"/>
      <c r="M20" s="32"/>
    </row>
    <row r="21" customFormat="false" ht="15" hidden="false" customHeight="false" outlineLevel="0" collapsed="false">
      <c r="A21" s="4" t="s">
        <v>132</v>
      </c>
      <c r="B21" s="29" t="n">
        <f aca="false">IFERROR(INDEX('12 Monate'!$B$36:$M$36,MATCH(B$5,'12 Monate'!$B$4:$M$4,0)),"")</f>
        <v>0</v>
      </c>
      <c r="C21" s="29" t="n">
        <f aca="false">IFERROR(INDEX('12 Monate'!$B$36:$M$36,MATCH(C$5,'12 Monate'!$B$4:$M$4,0)),"")</f>
        <v>0</v>
      </c>
      <c r="D21" s="29" t="n">
        <f aca="false">IFERROR(INDEX('12 Monate'!$B$36:$M$36,MATCH(D$5,'12 Monate'!$B$4:$M$4,0)),"")</f>
        <v>0</v>
      </c>
      <c r="E21" s="29" t="n">
        <f aca="false">IFERROR(INDEX('12 Monate'!$B$36:$M$36,MATCH(E$5,'12 Monate'!$B$4:$M$4,0)),"")</f>
        <v>0</v>
      </c>
      <c r="F21" s="29" t="n">
        <f aca="false">IFERROR(INDEX('12 Monate'!$B$36:$M$36,MATCH(F$5,'12 Monate'!$B$4:$M$4,0)),"")</f>
        <v>0</v>
      </c>
      <c r="G21" s="29" t="n">
        <f aca="false">IFERROR(INDEX('12 Monate'!$B$36:$M$36,MATCH(G$5,'12 Monate'!$B$4:$M$4,0)),"")</f>
        <v>0</v>
      </c>
      <c r="H21" s="29" t="n">
        <f aca="false">IFERROR(INDEX('12 Monate'!$B$36:$M$36,MATCH(H$5,'12 Monate'!$B$4:$M$4,0)),"")</f>
        <v>0</v>
      </c>
      <c r="I21" s="29" t="n">
        <f aca="false">IFERROR(INDEX('12 Monate'!$B$36:$M$36,MATCH(I$5,'12 Monate'!$B$4:$M$4,0)),"")</f>
        <v>0</v>
      </c>
      <c r="J21" s="29" t="n">
        <f aca="false">IFERROR(INDEX('12 Monate'!$B$36:$M$36,MATCH(J$5,'12 Monate'!$B$4:$M$4,0)),"")</f>
        <v>0</v>
      </c>
      <c r="K21" s="29" t="n">
        <f aca="false">IFERROR(INDEX('12 Monate'!$B$36:$M$36,MATCH(K$5,'12 Monate'!$B$4:$M$4,0)),"")</f>
        <v>0</v>
      </c>
      <c r="L21" s="29" t="n">
        <f aca="false">IFERROR(INDEX('12 Monate'!$B$36:$M$36,MATCH(L$5,'12 Monate'!$B$4:$M$4,0)),"")</f>
        <v>0</v>
      </c>
      <c r="M21" s="29" t="n">
        <f aca="false">IFERROR(INDEX('12 Monate'!$B$36:$M$36,MATCH(M$5,'12 Monate'!$B$4:$M$4,0)),"")</f>
        <v>0</v>
      </c>
    </row>
    <row r="22" customFormat="false" ht="15" hidden="false" customHeight="false" outlineLevel="0" collapsed="false">
      <c r="A22" s="4" t="s">
        <v>133</v>
      </c>
      <c r="B22" s="8"/>
      <c r="C22" s="8"/>
      <c r="D22" s="8"/>
      <c r="E22" s="8"/>
      <c r="F22" s="8"/>
      <c r="G22" s="8"/>
      <c r="H22" s="8"/>
      <c r="I22" s="8"/>
      <c r="J22" s="8"/>
      <c r="K22" s="8"/>
      <c r="L22" s="8"/>
      <c r="M22" s="8"/>
    </row>
    <row r="23" customFormat="false" ht="15" hidden="false" customHeight="false" outlineLevel="0" collapsed="false">
      <c r="A23" s="4" t="s">
        <v>134</v>
      </c>
      <c r="B23" s="8"/>
      <c r="C23" s="8"/>
      <c r="D23" s="8"/>
      <c r="E23" s="8"/>
      <c r="F23" s="8"/>
      <c r="G23" s="8"/>
      <c r="H23" s="8"/>
      <c r="I23" s="8"/>
      <c r="J23" s="8"/>
      <c r="K23" s="8"/>
      <c r="L23" s="8"/>
      <c r="M23" s="8"/>
    </row>
    <row r="24" customFormat="false" ht="15" hidden="false" customHeight="false" outlineLevel="0" collapsed="false">
      <c r="A24" s="4" t="s">
        <v>135</v>
      </c>
      <c r="B24" s="30" t="str">
        <f aca="false">IF(OR(B23="",IF(B22&lt;&gt;"",B22,B21)=""),"",B23-IF(B22&lt;&gt;"",B22,B21))</f>
        <v/>
      </c>
      <c r="C24" s="30" t="str">
        <f aca="false">IF(OR(C23="",IF(C22&lt;&gt;"",C22,C21)=""),"",C23-IF(C22&lt;&gt;"",C22,C21))</f>
        <v/>
      </c>
      <c r="D24" s="30" t="str">
        <f aca="false">IF(OR(D23="",IF(D22&lt;&gt;"",D22,D21)=""),"",D23-IF(D22&lt;&gt;"",D22,D21))</f>
        <v/>
      </c>
      <c r="E24" s="30" t="str">
        <f aca="false">IF(OR(E23="",IF(E22&lt;&gt;"",E22,E21)=""),"",E23-IF(E22&lt;&gt;"",E22,E21))</f>
        <v/>
      </c>
      <c r="F24" s="30" t="str">
        <f aca="false">IF(OR(F23="",IF(F22&lt;&gt;"",F22,F21)=""),"",F23-IF(F22&lt;&gt;"",F22,F21))</f>
        <v/>
      </c>
      <c r="G24" s="30" t="str">
        <f aca="false">IF(OR(G23="",IF(G22&lt;&gt;"",G22,G21)=""),"",G23-IF(G22&lt;&gt;"",G22,G21))</f>
        <v/>
      </c>
      <c r="H24" s="30" t="str">
        <f aca="false">IF(OR(H23="",IF(H22&lt;&gt;"",H22,H21)=""),"",H23-IF(H22&lt;&gt;"",H22,H21))</f>
        <v/>
      </c>
      <c r="I24" s="30" t="str">
        <f aca="false">IF(OR(I23="",IF(I22&lt;&gt;"",I22,I21)=""),"",I23-IF(I22&lt;&gt;"",I22,I21))</f>
        <v/>
      </c>
      <c r="J24" s="30" t="str">
        <f aca="false">IF(OR(J23="",IF(J22&lt;&gt;"",J22,J21)=""),"",J23-IF(J22&lt;&gt;"",J22,J21))</f>
        <v/>
      </c>
      <c r="K24" s="30" t="str">
        <f aca="false">IF(OR(K23="",IF(K22&lt;&gt;"",K22,K21)=""),"",K23-IF(K22&lt;&gt;"",K22,K21))</f>
        <v/>
      </c>
      <c r="L24" s="30" t="str">
        <f aca="false">IF(OR(L23="",IF(L22&lt;&gt;"",L22,L21)=""),"",L23-IF(L22&lt;&gt;"",L22,L21))</f>
        <v/>
      </c>
      <c r="M24" s="30" t="str">
        <f aca="false">IF(OR(M23="",IF(M22&lt;&gt;"",M22,M21)=""),"",M23-IF(M22&lt;&gt;"",M22,M21))</f>
        <v/>
      </c>
    </row>
    <row r="25" customFormat="false" ht="15" hidden="false" customHeight="false" outlineLevel="0" collapsed="false">
      <c r="A25" s="4" t="s">
        <v>136</v>
      </c>
      <c r="B25" s="44" t="str">
        <f aca="false">IF(OR(B24="",IF(B22&lt;&gt;"",B22,B21)=0),"",B24/ABS(IF(B22&lt;&gt;"",B22,B21)))</f>
        <v/>
      </c>
      <c r="C25" s="44" t="str">
        <f aca="false">IF(OR(C24="",IF(C22&lt;&gt;"",C22,C21)=0),"",C24/ABS(IF(C22&lt;&gt;"",C22,C21)))</f>
        <v/>
      </c>
      <c r="D25" s="44" t="str">
        <f aca="false">IF(OR(D24="",IF(D22&lt;&gt;"",D22,D21)=0),"",D24/ABS(IF(D22&lt;&gt;"",D22,D21)))</f>
        <v/>
      </c>
      <c r="E25" s="44" t="str">
        <f aca="false">IF(OR(E24="",IF(E22&lt;&gt;"",E22,E21)=0),"",E24/ABS(IF(E22&lt;&gt;"",E22,E21)))</f>
        <v/>
      </c>
      <c r="F25" s="44" t="str">
        <f aca="false">IF(OR(F24="",IF(F22&lt;&gt;"",F22,F21)=0),"",F24/ABS(IF(F22&lt;&gt;"",F22,F21)))</f>
        <v/>
      </c>
      <c r="G25" s="44" t="str">
        <f aca="false">IF(OR(G24="",IF(G22&lt;&gt;"",G22,G21)=0),"",G24/ABS(IF(G22&lt;&gt;"",G22,G21)))</f>
        <v/>
      </c>
      <c r="H25" s="44" t="str">
        <f aca="false">IF(OR(H24="",IF(H22&lt;&gt;"",H22,H21)=0),"",H24/ABS(IF(H22&lt;&gt;"",H22,H21)))</f>
        <v/>
      </c>
      <c r="I25" s="44" t="str">
        <f aca="false">IF(OR(I24="",IF(I22&lt;&gt;"",I22,I21)=0),"",I24/ABS(IF(I22&lt;&gt;"",I22,I21)))</f>
        <v/>
      </c>
      <c r="J25" s="44" t="str">
        <f aca="false">IF(OR(J24="",IF(J22&lt;&gt;"",J22,J21)=0),"",J24/ABS(IF(J22&lt;&gt;"",J22,J21)))</f>
        <v/>
      </c>
      <c r="K25" s="44" t="str">
        <f aca="false">IF(OR(K24="",IF(K22&lt;&gt;"",K22,K21)=0),"",K24/ABS(IF(K22&lt;&gt;"",K22,K21)))</f>
        <v/>
      </c>
      <c r="L25" s="44" t="str">
        <f aca="false">IF(OR(L24="",IF(L22&lt;&gt;"",L22,L21)=0),"",L24/ABS(IF(L22&lt;&gt;"",L22,L21)))</f>
        <v/>
      </c>
      <c r="M25" s="44" t="str">
        <f aca="false">IF(OR(M24="",IF(M22&lt;&gt;"",M22,M21)=0),"",M24/ABS(IF(M22&lt;&gt;"",M22,M21)))</f>
        <v/>
      </c>
    </row>
    <row r="27" customFormat="false" ht="42" hidden="false" customHeight="true" outlineLevel="0" collapsed="false">
      <c r="A27" s="19" t="s">
        <v>138</v>
      </c>
      <c r="B27" s="19"/>
      <c r="C27" s="19"/>
      <c r="D27" s="19"/>
      <c r="E27" s="19"/>
      <c r="F27" s="19"/>
      <c r="G27" s="19"/>
      <c r="H27" s="19"/>
      <c r="I27" s="19"/>
      <c r="J27" s="19"/>
      <c r="K27" s="19"/>
      <c r="L27" s="19"/>
      <c r="M27" s="19"/>
    </row>
  </sheetData>
  <sheetProtection sheet="true" formatCells="false" formatColumns="false" formatRows="false"/>
  <mergeCells count="2">
    <mergeCell ref="C3:H3"/>
    <mergeCell ref="A27:M27"/>
  </mergeCells>
  <conditionalFormatting sqref="B11:M11">
    <cfRule type="expression" priority="2" aboveAverage="0" equalAverage="0" bottom="0" percent="0" rank="0" text="" dxfId="3">
      <formula>AND(ISNUMBER(B11),ABS(B11)&gt;0.1)</formula>
    </cfRule>
  </conditionalFormatting>
  <conditionalFormatting sqref="B18:M18">
    <cfRule type="expression" priority="3" aboveAverage="0" equalAverage="0" bottom="0" percent="0" rank="0" text="" dxfId="3">
      <formula>AND(ISNUMBER(B18),ABS(B18)&gt;0.1)</formula>
    </cfRule>
  </conditionalFormatting>
  <conditionalFormatting sqref="B25:M25">
    <cfRule type="expression" priority="4" aboveAverage="0" equalAverage="0" bottom="0" percent="0" rank="0" text="" dxfId="3">
      <formula>AND(ISNUMBER(B25),ABS(B25)&gt;0.1)</formula>
    </cfRule>
  </conditionalFormatting>
  <dataValidations count="1">
    <dataValidation allowBlank="true" error="Bitte ein Datum eingeben, z. B. 15.03.2027." errorStyle="stop" operator="between" showDropDown="false" showErrorMessage="true" showInputMessage="false" sqref="B3" type="date">
      <formula1>36526</formula1>
      <formula2>73051</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3" min="3" style="0" width="62"/>
    <col collapsed="false" customWidth="true" hidden="false" outlineLevel="0" max="4" min="4" style="0" width="14"/>
  </cols>
  <sheetData>
    <row r="1" customFormat="false" ht="17.35" hidden="false" customHeight="false" outlineLevel="0" collapsed="false">
      <c r="A1" s="1" t="s">
        <v>139</v>
      </c>
    </row>
    <row r="2" customFormat="false" ht="15" hidden="false" customHeight="false" outlineLevel="0" collapsed="false">
      <c r="A2" s="15" t="s">
        <v>140</v>
      </c>
    </row>
    <row r="4" customFormat="false" ht="23.85" hidden="false" customHeight="false" outlineLevel="0" collapsed="false">
      <c r="A4" s="16" t="s">
        <v>141</v>
      </c>
      <c r="B4" s="16" t="s">
        <v>142</v>
      </c>
      <c r="C4" s="16" t="s">
        <v>143</v>
      </c>
      <c r="D4" s="16" t="s">
        <v>144</v>
      </c>
    </row>
    <row r="5" customFormat="false" ht="42" hidden="false" customHeight="true" outlineLevel="0" collapsed="false">
      <c r="A5" s="45" t="s">
        <v>145</v>
      </c>
      <c r="B5" s="46" t="s">
        <v>146</v>
      </c>
      <c r="C5" s="46" t="s">
        <v>147</v>
      </c>
      <c r="D5" s="5"/>
    </row>
    <row r="6" customFormat="false" ht="42" hidden="false" customHeight="true" outlineLevel="0" collapsed="false">
      <c r="A6" s="45" t="s">
        <v>148</v>
      </c>
      <c r="B6" s="46" t="s">
        <v>149</v>
      </c>
      <c r="C6" s="46" t="s">
        <v>150</v>
      </c>
      <c r="D6" s="5"/>
    </row>
    <row r="7" customFormat="false" ht="42" hidden="false" customHeight="true" outlineLevel="0" collapsed="false">
      <c r="A7" s="45" t="s">
        <v>151</v>
      </c>
      <c r="B7" s="46" t="s">
        <v>152</v>
      </c>
      <c r="C7" s="46" t="s">
        <v>153</v>
      </c>
      <c r="D7" s="5"/>
    </row>
    <row r="8" customFormat="false" ht="42" hidden="false" customHeight="true" outlineLevel="0" collapsed="false">
      <c r="A8" s="45" t="s">
        <v>154</v>
      </c>
      <c r="B8" s="46" t="s">
        <v>155</v>
      </c>
      <c r="C8" s="46" t="s">
        <v>156</v>
      </c>
      <c r="D8" s="5"/>
    </row>
    <row r="9" customFormat="false" ht="42" hidden="false" customHeight="true" outlineLevel="0" collapsed="false">
      <c r="A9" s="45" t="s">
        <v>157</v>
      </c>
      <c r="B9" s="46" t="s">
        <v>158</v>
      </c>
      <c r="C9" s="46" t="s">
        <v>159</v>
      </c>
      <c r="D9" s="5"/>
    </row>
    <row r="10" customFormat="false" ht="42" hidden="false" customHeight="true" outlineLevel="0" collapsed="false">
      <c r="A10" s="45" t="s">
        <v>160</v>
      </c>
      <c r="B10" s="46" t="s">
        <v>158</v>
      </c>
      <c r="C10" s="46" t="s">
        <v>161</v>
      </c>
      <c r="D10" s="5"/>
    </row>
    <row r="11" customFormat="false" ht="42" hidden="false" customHeight="true" outlineLevel="0" collapsed="false">
      <c r="A11" s="45" t="s">
        <v>162</v>
      </c>
      <c r="B11" s="46" t="s">
        <v>146</v>
      </c>
      <c r="C11" s="46" t="s">
        <v>163</v>
      </c>
      <c r="D11" s="5"/>
    </row>
    <row r="12" customFormat="false" ht="42" hidden="false" customHeight="true" outlineLevel="0" collapsed="false">
      <c r="A12" s="45" t="s">
        <v>164</v>
      </c>
      <c r="B12" s="46" t="s">
        <v>165</v>
      </c>
      <c r="C12" s="46" t="s">
        <v>166</v>
      </c>
      <c r="D12" s="5"/>
    </row>
    <row r="13" customFormat="false" ht="42" hidden="false" customHeight="true" outlineLevel="0" collapsed="false">
      <c r="A13" s="45" t="s">
        <v>167</v>
      </c>
      <c r="B13" s="46" t="s">
        <v>152</v>
      </c>
      <c r="C13" s="46" t="s">
        <v>168</v>
      </c>
      <c r="D13" s="5"/>
    </row>
    <row r="14" customFormat="false" ht="42" hidden="false" customHeight="true" outlineLevel="0" collapsed="false">
      <c r="A14" s="45" t="s">
        <v>169</v>
      </c>
      <c r="B14" s="46" t="s">
        <v>165</v>
      </c>
      <c r="C14" s="46" t="s">
        <v>170</v>
      </c>
      <c r="D14" s="5"/>
    </row>
    <row r="15" customFormat="false" ht="42" hidden="false" customHeight="true" outlineLevel="0" collapsed="false">
      <c r="A15" s="45" t="s">
        <v>171</v>
      </c>
      <c r="B15" s="46" t="s">
        <v>155</v>
      </c>
      <c r="C15" s="46" t="s">
        <v>172</v>
      </c>
      <c r="D15" s="5"/>
    </row>
    <row r="16" customFormat="false" ht="42" hidden="false" customHeight="true" outlineLevel="0" collapsed="false">
      <c r="A16" s="45" t="s">
        <v>173</v>
      </c>
      <c r="B16" s="46" t="s">
        <v>174</v>
      </c>
      <c r="C16" s="46" t="s">
        <v>175</v>
      </c>
      <c r="D16" s="5"/>
    </row>
  </sheetData>
  <sheetProtection sheet="true" formatCells="false" formatColumns="false" formatRows="false"/>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4" min="4" style="0" width="40"/>
    <col collapsed="false" customWidth="true" hidden="false" outlineLevel="0" max="5" min="5" style="0" width="8"/>
  </cols>
  <sheetData>
    <row r="1" customFormat="false" ht="15" hidden="false" customHeight="false" outlineLevel="0" collapsed="false">
      <c r="A1" s="22" t="s">
        <v>60</v>
      </c>
      <c r="B1" s="22" t="s">
        <v>176</v>
      </c>
      <c r="D1" s="22" t="s">
        <v>61</v>
      </c>
      <c r="E1" s="22" t="s">
        <v>64</v>
      </c>
    </row>
    <row r="2" customFormat="false" ht="15" hidden="false" customHeight="false" outlineLevel="0" collapsed="false">
      <c r="A2" s="4" t="s">
        <v>78</v>
      </c>
      <c r="B2" s="4" t="s">
        <v>177</v>
      </c>
      <c r="D2" s="4" t="s">
        <v>178</v>
      </c>
      <c r="E2" s="47" t="n">
        <v>0</v>
      </c>
    </row>
    <row r="3" customFormat="false" ht="15" hidden="false" customHeight="false" outlineLevel="0" collapsed="false">
      <c r="A3" s="4" t="s">
        <v>79</v>
      </c>
      <c r="B3" s="4" t="s">
        <v>177</v>
      </c>
      <c r="D3" s="4" t="s">
        <v>179</v>
      </c>
      <c r="E3" s="47" t="n">
        <v>1</v>
      </c>
    </row>
    <row r="4" customFormat="false" ht="15" hidden="false" customHeight="false" outlineLevel="0" collapsed="false">
      <c r="A4" s="4" t="s">
        <v>80</v>
      </c>
      <c r="B4" s="4" t="s">
        <v>177</v>
      </c>
      <c r="D4" s="4" t="s">
        <v>180</v>
      </c>
      <c r="E4" s="47" t="n">
        <v>101</v>
      </c>
    </row>
    <row r="5" customFormat="false" ht="15" hidden="false" customHeight="false" outlineLevel="0" collapsed="false">
      <c r="A5" s="4" t="s">
        <v>81</v>
      </c>
      <c r="B5" s="4" t="s">
        <v>177</v>
      </c>
      <c r="D5" s="4" t="s">
        <v>181</v>
      </c>
      <c r="E5" s="47" t="n">
        <v>102</v>
      </c>
    </row>
    <row r="6" customFormat="false" ht="15" hidden="false" customHeight="false" outlineLevel="0" collapsed="false">
      <c r="A6" s="4" t="s">
        <v>82</v>
      </c>
      <c r="B6" s="4" t="s">
        <v>177</v>
      </c>
      <c r="D6" s="4" t="s">
        <v>182</v>
      </c>
      <c r="E6" s="47" t="n">
        <v>3</v>
      </c>
    </row>
    <row r="7" customFormat="false" ht="15" hidden="false" customHeight="false" outlineLevel="0" collapsed="false">
      <c r="A7" s="4" t="s">
        <v>87</v>
      </c>
      <c r="B7" s="4" t="s">
        <v>183</v>
      </c>
      <c r="D7" s="4" t="s">
        <v>184</v>
      </c>
      <c r="E7" s="47" t="n">
        <v>6</v>
      </c>
    </row>
    <row r="8" customFormat="false" ht="15" hidden="false" customHeight="false" outlineLevel="0" collapsed="false">
      <c r="A8" s="4" t="s">
        <v>88</v>
      </c>
      <c r="B8" s="4" t="s">
        <v>183</v>
      </c>
      <c r="D8" s="4" t="s">
        <v>185</v>
      </c>
      <c r="E8" s="47" t="n">
        <v>12</v>
      </c>
    </row>
    <row r="9" customFormat="false" ht="15" hidden="false" customHeight="false" outlineLevel="0" collapsed="false">
      <c r="A9" s="4" t="s">
        <v>89</v>
      </c>
      <c r="B9" s="4" t="s">
        <v>183</v>
      </c>
    </row>
    <row r="10" customFormat="false" ht="15" hidden="false" customHeight="false" outlineLevel="0" collapsed="false">
      <c r="A10" s="4" t="s">
        <v>90</v>
      </c>
      <c r="B10" s="4" t="s">
        <v>183</v>
      </c>
    </row>
    <row r="11" customFormat="false" ht="15" hidden="false" customHeight="false" outlineLevel="0" collapsed="false">
      <c r="A11" s="4" t="s">
        <v>91</v>
      </c>
      <c r="B11" s="4" t="s">
        <v>183</v>
      </c>
    </row>
    <row r="12" customFormat="false" ht="15" hidden="false" customHeight="false" outlineLevel="0" collapsed="false">
      <c r="A12" s="4" t="s">
        <v>92</v>
      </c>
      <c r="B12" s="4" t="s">
        <v>183</v>
      </c>
    </row>
    <row r="13" customFormat="false" ht="15" hidden="false" customHeight="false" outlineLevel="0" collapsed="false">
      <c r="A13" s="4" t="s">
        <v>93</v>
      </c>
      <c r="B13" s="4" t="s">
        <v>183</v>
      </c>
    </row>
    <row r="14" customFormat="false" ht="15" hidden="false" customHeight="false" outlineLevel="0" collapsed="false">
      <c r="A14" s="4" t="s">
        <v>94</v>
      </c>
      <c r="B14" s="4" t="s">
        <v>183</v>
      </c>
    </row>
    <row r="15" customFormat="false" ht="15" hidden="false" customHeight="false" outlineLevel="0" collapsed="false">
      <c r="A15" s="4" t="s">
        <v>95</v>
      </c>
      <c r="B15" s="4" t="s">
        <v>183</v>
      </c>
    </row>
    <row r="16" customFormat="false" ht="15" hidden="false" customHeight="false" outlineLevel="0" collapsed="false">
      <c r="A16" s="4" t="s">
        <v>96</v>
      </c>
      <c r="B16" s="4" t="s">
        <v>183</v>
      </c>
    </row>
    <row r="17" customFormat="false" ht="15" hidden="false" customHeight="false" outlineLevel="0" collapsed="false">
      <c r="A17" s="4" t="s">
        <v>97</v>
      </c>
      <c r="B17" s="4" t="s">
        <v>183</v>
      </c>
    </row>
    <row r="18" customFormat="false" ht="15" hidden="false" customHeight="false" outlineLevel="0" collapsed="false">
      <c r="A18" s="4" t="s">
        <v>98</v>
      </c>
      <c r="B18" s="4" t="s">
        <v>183</v>
      </c>
    </row>
    <row r="19" customFormat="false" ht="15" hidden="false" customHeight="false" outlineLevel="0" collapsed="false">
      <c r="A19" s="4" t="s">
        <v>99</v>
      </c>
      <c r="B19" s="4" t="s">
        <v>183</v>
      </c>
    </row>
    <row r="20" customFormat="false" ht="15" hidden="false" customHeight="false" outlineLevel="0" collapsed="false">
      <c r="A20" s="4" t="s">
        <v>100</v>
      </c>
      <c r="B20" s="4" t="s">
        <v>183</v>
      </c>
    </row>
    <row r="21" customFormat="false" ht="15" hidden="false" customHeight="false" outlineLevel="0" collapsed="false">
      <c r="A21" s="4" t="s">
        <v>101</v>
      </c>
      <c r="B21" s="4" t="s">
        <v>183</v>
      </c>
    </row>
    <row r="25" customFormat="false" ht="30" hidden="false" customHeight="true" outlineLevel="0" collapsed="false">
      <c r="A25" s="19" t="s">
        <v>186</v>
      </c>
      <c r="B25" s="19"/>
      <c r="C25" s="19"/>
      <c r="D25" s="19"/>
      <c r="E25" s="19"/>
    </row>
  </sheetData>
  <sheetProtection sheet="true" formatCells="false" formatColumns="false" formatRows="false"/>
  <mergeCells count="1">
    <mergeCell ref="A25:E25"/>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Vorlage: arbeitdigital.de/fuehren/finanzen/liquiditaetsplanung/ · für den eigenen Plan frei nutzbar, Fußzeile darf entfernt werden&amp;R&amp;8 &amp;A ·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2026-11-02T14:36:19Z</dcterms:created>
  <dc:creator>arbeitdigital</dc:creator>
  <dc:description>Für den eigenen Liquiditätsplan frei nutzbar. Weitergabe als Vorlage nur mit Quelle arbeitdigital.de/fuehren/finanzen/liquiditaetsplanung/</dc:description>
  <dc:language>en-US</dc:language>
  <cp:lastModifiedBy/>
  <dcterms:modified xsi:type="dcterms:W3CDTF">2026-11-02T14:36:20Z</dcterms:modified>
  <cp:revision>0</cp:revision>
  <dc:subject/>
  <dc:title>Liquiditätsplan-Vorlage</dc:title>
</cp:coreProperties>
</file>

<file path=docProps/custom.xml><?xml version="1.0" encoding="utf-8"?>
<Properties xmlns="http://schemas.openxmlformats.org/officeDocument/2006/custom-properties" xmlns:vt="http://schemas.openxmlformats.org/officeDocument/2006/docPropsVTypes"/>
</file>